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6.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7.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xr:revisionPtr revIDLastSave="0" documentId="13_ncr:1_{26711346-3C74-4EBE-8C25-DDEBCBB51A4A}" xr6:coauthVersionLast="47" xr6:coauthVersionMax="47" xr10:uidLastSave="{00000000-0000-0000-0000-000000000000}"/>
  <workbookProtection workbookAlgorithmName="SHA-512" workbookHashValue="apzJ1iO8f8W9eM4Gk6csDqurieIFWWPunkIh1n9+bA08Kb13OwBrI1/LGPKoi2nDq3wv3iCeeA4n+rHB/3gxWw==" workbookSaltValue="SjatdtzH41JdwwL0Uenkmw==" workbookSpinCount="100000" lockStructure="1"/>
  <bookViews>
    <workbookView xWindow="-120" yWindow="-120" windowWidth="29040" windowHeight="15720" tabRatio="581" xr2:uid="{00000000-000D-0000-FFFF-FFFF00000000}"/>
  </bookViews>
  <sheets>
    <sheet name="最初にお読み下さい" sheetId="46" r:id="rId1"/>
    <sheet name="令和5年1月改正について" sheetId="55" r:id="rId2"/>
    <sheet name="使用方法" sheetId="50" r:id="rId3"/>
    <sheet name="パスワード" sheetId="31" r:id="rId4"/>
    <sheet name="基本事項" sheetId="11" r:id="rId5"/>
    <sheet name="完成工事高" sheetId="36" r:id="rId6"/>
    <sheet name="元請完成工事高" sheetId="49" r:id="rId7"/>
    <sheet name="技術者" sheetId="42" r:id="rId8"/>
    <sheet name="経営状況・自己資本額、平均利益額" sheetId="38" r:id="rId9"/>
    <sheet name="社会性等" sheetId="14" r:id="rId10"/>
    <sheet name="経営事項審査結果通知書" sheetId="47" r:id="rId11"/>
    <sheet name="4パターン対比表" sheetId="21" r:id="rId12"/>
    <sheet name="CPD単位換算計算表" sheetId="54" r:id="rId13"/>
    <sheet name="完成工事高X1" sheetId="22" state="hidden" r:id="rId14"/>
    <sheet name="元請完成工事高Z2" sheetId="34" state="hidden" r:id="rId15"/>
    <sheet name="技術職員数Z1" sheetId="37" state="hidden" r:id="rId16"/>
    <sheet name="別表第一" sheetId="1" state="hidden" r:id="rId17"/>
    <sheet name="別表第二" sheetId="4" state="hidden" r:id="rId18"/>
    <sheet name="別表第三" sheetId="39" state="hidden" r:id="rId19"/>
    <sheet name="別表第四" sheetId="6" state="hidden" r:id="rId20"/>
    <sheet name="別表第五" sheetId="33" state="hidden" r:id="rId21"/>
    <sheet name="別表第六" sheetId="7" state="hidden" r:id="rId22"/>
    <sheet name="別表第十一" sheetId="9" state="hidden" r:id="rId23"/>
    <sheet name="別表第十二" sheetId="40" state="hidden" r:id="rId24"/>
    <sheet name="別表第十三" sheetId="45" state="hidden" r:id="rId25"/>
    <sheet name="別表第十七" sheetId="52" state="hidden" r:id="rId26"/>
    <sheet name="その他" sheetId="41" state="hidden" r:id="rId27"/>
  </sheets>
  <externalReferences>
    <externalReference r:id="rId28"/>
  </externalReferences>
  <definedNames>
    <definedName name="_xlnm.Print_Titles" localSheetId="12">CPD単位換算計算表!$B:$C</definedName>
    <definedName name="Z1最低点" localSheetId="6">元請完成工事高!#REF!</definedName>
    <definedName name="Z1最低点" localSheetId="1">'[1]技術力(Z)'!$U$3</definedName>
    <definedName name="Z1最低点">技術者!$P$3</definedName>
    <definedName name="Z2最低点" localSheetId="6">元請完成工事高!$M$3</definedName>
    <definedName name="Z2最低点" localSheetId="1">'[1]技術力(Z)'!$M$3</definedName>
    <definedName name="Z2最低点">技術者!#REF!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52" i="14" l="1"/>
  <c r="AJ52" i="14"/>
  <c r="AN2" i="14"/>
  <c r="C2" i="14"/>
  <c r="C3" i="14"/>
  <c r="EA39" i="47"/>
  <c r="EA30" i="47"/>
  <c r="EA31" i="47"/>
  <c r="EA32" i="47"/>
  <c r="EA33" i="47"/>
  <c r="EA29" i="47"/>
  <c r="AJ21" i="14"/>
  <c r="AN5" i="14"/>
  <c r="AG48" i="14"/>
  <c r="AN49" i="14"/>
  <c r="EA56" i="47" s="1"/>
  <c r="AG49" i="14"/>
  <c r="AG21" i="14"/>
  <c r="AH21" i="14" s="1"/>
  <c r="AN21" i="14"/>
  <c r="EA37" i="47" s="1"/>
  <c r="AG20" i="14"/>
  <c r="AN20" i="14"/>
  <c r="EA36" i="47" s="1"/>
  <c r="AN19" i="14"/>
  <c r="EA35" i="47" s="1"/>
  <c r="AG19" i="14"/>
  <c r="AG18" i="14"/>
  <c r="AN18" i="14"/>
  <c r="EA34" i="47" s="1"/>
  <c r="AN35" i="14"/>
  <c r="EA47" i="47" s="1"/>
  <c r="AG5" i="14"/>
  <c r="AO16" i="14"/>
  <c r="N2" i="52" s="1"/>
  <c r="N3" i="52" s="1"/>
  <c r="AN16" i="14"/>
  <c r="AO14" i="14"/>
  <c r="I2" i="52" s="1"/>
  <c r="I3" i="52" s="1"/>
  <c r="AN14" i="14"/>
  <c r="AN12" i="14"/>
  <c r="EA28" i="47" s="1"/>
  <c r="AN11" i="14"/>
  <c r="EA27" i="47" s="1"/>
  <c r="AG12" i="14"/>
  <c r="AG11" i="14"/>
  <c r="BK30" i="54"/>
  <c r="BK29" i="54"/>
  <c r="BK28" i="54"/>
  <c r="BK27" i="54"/>
  <c r="BK26" i="54"/>
  <c r="BK25" i="54"/>
  <c r="BK24" i="54"/>
  <c r="BK23" i="54"/>
  <c r="BK22" i="54"/>
  <c r="BK21" i="54"/>
  <c r="BK20" i="54"/>
  <c r="BK19" i="54"/>
  <c r="BK18" i="54"/>
  <c r="BK17" i="54"/>
  <c r="BK16" i="54"/>
  <c r="BK15" i="54"/>
  <c r="BK14" i="54"/>
  <c r="BK13" i="54"/>
  <c r="BK12" i="54"/>
  <c r="BK11" i="54"/>
  <c r="BK10" i="54"/>
  <c r="BK9" i="54"/>
  <c r="BK8" i="54"/>
  <c r="BK7" i="54"/>
  <c r="BK6" i="54"/>
  <c r="BK5" i="54"/>
  <c r="BK4" i="54"/>
  <c r="BK31" i="54"/>
  <c r="BI30" i="54"/>
  <c r="BI29" i="54"/>
  <c r="BI28" i="54"/>
  <c r="BI27" i="54"/>
  <c r="BI26" i="54"/>
  <c r="BI25" i="54"/>
  <c r="BI24" i="54"/>
  <c r="BI23" i="54"/>
  <c r="BI22" i="54"/>
  <c r="BI21" i="54"/>
  <c r="BI20" i="54"/>
  <c r="BI19" i="54"/>
  <c r="BI18" i="54"/>
  <c r="BI17" i="54"/>
  <c r="BI16" i="54"/>
  <c r="BI15" i="54"/>
  <c r="BI14" i="54"/>
  <c r="BI13" i="54"/>
  <c r="BI12" i="54"/>
  <c r="BI11" i="54"/>
  <c r="BI10" i="54"/>
  <c r="BI9" i="54"/>
  <c r="BI8" i="54"/>
  <c r="BI7" i="54"/>
  <c r="BI6" i="54"/>
  <c r="BI5" i="54"/>
  <c r="BI4" i="54"/>
  <c r="BI31" i="54"/>
  <c r="BG30" i="54"/>
  <c r="BG29" i="54"/>
  <c r="BG28" i="54"/>
  <c r="BG27" i="54"/>
  <c r="BG26" i="54"/>
  <c r="BG25" i="54"/>
  <c r="BG24" i="54"/>
  <c r="BG23" i="54"/>
  <c r="BG22" i="54"/>
  <c r="BG21" i="54"/>
  <c r="BG20" i="54"/>
  <c r="BG19" i="54"/>
  <c r="BG18" i="54"/>
  <c r="BG17" i="54"/>
  <c r="BG16" i="54"/>
  <c r="BG15" i="54"/>
  <c r="BG14" i="54"/>
  <c r="BG13" i="54"/>
  <c r="BG12" i="54"/>
  <c r="BG11" i="54"/>
  <c r="BG10" i="54"/>
  <c r="BG9" i="54"/>
  <c r="BG8" i="54"/>
  <c r="BG7" i="54"/>
  <c r="BG6" i="54"/>
  <c r="BG5" i="54"/>
  <c r="BG4" i="54"/>
  <c r="BG31" i="54" s="1"/>
  <c r="BE30" i="54"/>
  <c r="BE29" i="54"/>
  <c r="BE28" i="54"/>
  <c r="BE27" i="54"/>
  <c r="BE26" i="54"/>
  <c r="BE25" i="54"/>
  <c r="BE24" i="54"/>
  <c r="BE23" i="54"/>
  <c r="BE22" i="54"/>
  <c r="BE21" i="54"/>
  <c r="BE20" i="54"/>
  <c r="BE19" i="54"/>
  <c r="BE18" i="54"/>
  <c r="BE17" i="54"/>
  <c r="BE16" i="54"/>
  <c r="BE15" i="54"/>
  <c r="BE14" i="54"/>
  <c r="BE13" i="54"/>
  <c r="BE12" i="54"/>
  <c r="BE11" i="54"/>
  <c r="BE10" i="54"/>
  <c r="BE9" i="54"/>
  <c r="BE8" i="54"/>
  <c r="BE7" i="54"/>
  <c r="BE6" i="54"/>
  <c r="BE5" i="54"/>
  <c r="BE4" i="54"/>
  <c r="BE31" i="54"/>
  <c r="BC30" i="54"/>
  <c r="BC29" i="54"/>
  <c r="BC28" i="54"/>
  <c r="BC27" i="54"/>
  <c r="BC26" i="54"/>
  <c r="BC25" i="54"/>
  <c r="BC24" i="54"/>
  <c r="BC23" i="54"/>
  <c r="BC22" i="54"/>
  <c r="BC21" i="54"/>
  <c r="BC20" i="54"/>
  <c r="BC19" i="54"/>
  <c r="BC18" i="54"/>
  <c r="BC17" i="54"/>
  <c r="BC16" i="54"/>
  <c r="BC15" i="54"/>
  <c r="BC14" i="54"/>
  <c r="BC13" i="54"/>
  <c r="BC12" i="54"/>
  <c r="BC11" i="54"/>
  <c r="BC10" i="54"/>
  <c r="BC9" i="54"/>
  <c r="BC8" i="54"/>
  <c r="BC7" i="54"/>
  <c r="BC6" i="54"/>
  <c r="BC5" i="54"/>
  <c r="BC4" i="54"/>
  <c r="BC31" i="54" s="1"/>
  <c r="BA30" i="54"/>
  <c r="BA29" i="54"/>
  <c r="BA28" i="54"/>
  <c r="BA27" i="54"/>
  <c r="BA26" i="54"/>
  <c r="BA25" i="54"/>
  <c r="BA24" i="54"/>
  <c r="BA23" i="54"/>
  <c r="BA22" i="54"/>
  <c r="BA21" i="54"/>
  <c r="BA20" i="54"/>
  <c r="BA19" i="54"/>
  <c r="BA18" i="54"/>
  <c r="BA17" i="54"/>
  <c r="BA16" i="54"/>
  <c r="BA15" i="54"/>
  <c r="BA14" i="54"/>
  <c r="BA13" i="54"/>
  <c r="BA12" i="54"/>
  <c r="BA11" i="54"/>
  <c r="BA10" i="54"/>
  <c r="BA9" i="54"/>
  <c r="BA8" i="54"/>
  <c r="BA7" i="54"/>
  <c r="BA6" i="54"/>
  <c r="BA5" i="54"/>
  <c r="BA4" i="54"/>
  <c r="BA31" i="54"/>
  <c r="AY30" i="54"/>
  <c r="AY29" i="54"/>
  <c r="AY28" i="54"/>
  <c r="AY27" i="54"/>
  <c r="AY26" i="54"/>
  <c r="AY25" i="54"/>
  <c r="AY24" i="54"/>
  <c r="AY23" i="54"/>
  <c r="AY22" i="54"/>
  <c r="AY21" i="54"/>
  <c r="AY20" i="54"/>
  <c r="AY19" i="54"/>
  <c r="AY18" i="54"/>
  <c r="AY17" i="54"/>
  <c r="AY16" i="54"/>
  <c r="AY15" i="54"/>
  <c r="AY14" i="54"/>
  <c r="AY13" i="54"/>
  <c r="AY12" i="54"/>
  <c r="AY11" i="54"/>
  <c r="AY10" i="54"/>
  <c r="AY9" i="54"/>
  <c r="AY8" i="54"/>
  <c r="AY7" i="54"/>
  <c r="AY6" i="54"/>
  <c r="AY5" i="54"/>
  <c r="AY4" i="54"/>
  <c r="AY31" i="54"/>
  <c r="AW30" i="54"/>
  <c r="AW29" i="54"/>
  <c r="AW28" i="54"/>
  <c r="AW27" i="54"/>
  <c r="AW26" i="54"/>
  <c r="AW25" i="54"/>
  <c r="AW24" i="54"/>
  <c r="AW23" i="54"/>
  <c r="AW22" i="54"/>
  <c r="AW21" i="54"/>
  <c r="AW20" i="54"/>
  <c r="AW19" i="54"/>
  <c r="AW18" i="54"/>
  <c r="AW17" i="54"/>
  <c r="AW16" i="54"/>
  <c r="AW15" i="54"/>
  <c r="AW14" i="54"/>
  <c r="AW13" i="54"/>
  <c r="AW12" i="54"/>
  <c r="AW11" i="54"/>
  <c r="AW10" i="54"/>
  <c r="AW9" i="54"/>
  <c r="AW8" i="54"/>
  <c r="AW7" i="54"/>
  <c r="AW6" i="54"/>
  <c r="AW5" i="54"/>
  <c r="AW4" i="54"/>
  <c r="AW31" i="54"/>
  <c r="AU30" i="54"/>
  <c r="AU29" i="54"/>
  <c r="AU28" i="54"/>
  <c r="AU27" i="54"/>
  <c r="AU26" i="54"/>
  <c r="AU25" i="54"/>
  <c r="AU24" i="54"/>
  <c r="AU23" i="54"/>
  <c r="AU22" i="54"/>
  <c r="AU21" i="54"/>
  <c r="AU20" i="54"/>
  <c r="AU19" i="54"/>
  <c r="AU18" i="54"/>
  <c r="AU17" i="54"/>
  <c r="AU16" i="54"/>
  <c r="AU15" i="54"/>
  <c r="AU14" i="54"/>
  <c r="AU13" i="54"/>
  <c r="AU12" i="54"/>
  <c r="AU11" i="54"/>
  <c r="AU10" i="54"/>
  <c r="AU9" i="54"/>
  <c r="AU8" i="54"/>
  <c r="AU7" i="54"/>
  <c r="AU6" i="54"/>
  <c r="AU5" i="54"/>
  <c r="AU4" i="54"/>
  <c r="AU31" i="54"/>
  <c r="AS30" i="54"/>
  <c r="AS29" i="54"/>
  <c r="AS28" i="54"/>
  <c r="AS27" i="54"/>
  <c r="AS26" i="54"/>
  <c r="AS25" i="54"/>
  <c r="AS24" i="54"/>
  <c r="AS23" i="54"/>
  <c r="AS22" i="54"/>
  <c r="AS21" i="54"/>
  <c r="AS20" i="54"/>
  <c r="AS19" i="54"/>
  <c r="AS18" i="54"/>
  <c r="AS17" i="54"/>
  <c r="AS16" i="54"/>
  <c r="AS15" i="54"/>
  <c r="AS14" i="54"/>
  <c r="AS13" i="54"/>
  <c r="AS12" i="54"/>
  <c r="AS11" i="54"/>
  <c r="AS10" i="54"/>
  <c r="AS9" i="54"/>
  <c r="AS8" i="54"/>
  <c r="AS7" i="54"/>
  <c r="AS6" i="54"/>
  <c r="AS5" i="54"/>
  <c r="AS4" i="54"/>
  <c r="AS31" i="54" s="1"/>
  <c r="I4" i="54"/>
  <c r="G4" i="54"/>
  <c r="E4" i="54"/>
  <c r="AQ4" i="54"/>
  <c r="AQ30" i="54"/>
  <c r="AQ29" i="54"/>
  <c r="AQ28" i="54"/>
  <c r="AQ27" i="54"/>
  <c r="AQ26" i="54"/>
  <c r="AQ25" i="54"/>
  <c r="AQ24" i="54"/>
  <c r="AQ23" i="54"/>
  <c r="AQ22" i="54"/>
  <c r="AQ21" i="54"/>
  <c r="AQ20" i="54"/>
  <c r="AQ19" i="54"/>
  <c r="AQ18" i="54"/>
  <c r="AQ17" i="54"/>
  <c r="AQ16" i="54"/>
  <c r="AQ15" i="54"/>
  <c r="AQ14" i="54"/>
  <c r="AQ13" i="54"/>
  <c r="AQ12" i="54"/>
  <c r="AQ11" i="54"/>
  <c r="AQ10" i="54"/>
  <c r="AQ9" i="54"/>
  <c r="AQ8" i="54"/>
  <c r="AQ7" i="54"/>
  <c r="AQ6" i="54"/>
  <c r="AQ5" i="54"/>
  <c r="AQ31" i="54" s="1"/>
  <c r="AO30" i="54"/>
  <c r="AO29" i="54"/>
  <c r="AO28" i="54"/>
  <c r="AO27" i="54"/>
  <c r="AO26" i="54"/>
  <c r="AO25" i="54"/>
  <c r="AO24" i="54"/>
  <c r="AO23" i="54"/>
  <c r="AO22" i="54"/>
  <c r="AO21" i="54"/>
  <c r="AO20" i="54"/>
  <c r="AO19" i="54"/>
  <c r="AO18" i="54"/>
  <c r="AO17" i="54"/>
  <c r="AO16" i="54"/>
  <c r="AO15" i="54"/>
  <c r="AO14" i="54"/>
  <c r="AO13" i="54"/>
  <c r="AO12" i="54"/>
  <c r="AO11" i="54"/>
  <c r="AO10" i="54"/>
  <c r="AO9" i="54"/>
  <c r="AO8" i="54"/>
  <c r="AO7" i="54"/>
  <c r="AO6" i="54"/>
  <c r="AO5" i="54"/>
  <c r="AO4" i="54"/>
  <c r="AO31" i="54" s="1"/>
  <c r="AM30" i="54"/>
  <c r="AM29" i="54"/>
  <c r="AM28" i="54"/>
  <c r="AM27" i="54"/>
  <c r="AM26" i="54"/>
  <c r="AM25" i="54"/>
  <c r="AM24" i="54"/>
  <c r="AM23" i="54"/>
  <c r="AM22" i="54"/>
  <c r="AM21" i="54"/>
  <c r="AM20" i="54"/>
  <c r="AM19" i="54"/>
  <c r="AM18" i="54"/>
  <c r="AM17" i="54"/>
  <c r="AM16" i="54"/>
  <c r="AM15" i="54"/>
  <c r="AM14" i="54"/>
  <c r="AM13" i="54"/>
  <c r="AM12" i="54"/>
  <c r="AM11" i="54"/>
  <c r="AM10" i="54"/>
  <c r="AM9" i="54"/>
  <c r="AM8" i="54"/>
  <c r="AM7" i="54"/>
  <c r="AM6" i="54"/>
  <c r="AM5" i="54"/>
  <c r="AM4" i="54"/>
  <c r="AM31" i="54"/>
  <c r="AK30" i="54"/>
  <c r="AK29" i="54"/>
  <c r="AK28" i="54"/>
  <c r="AK27" i="54"/>
  <c r="AK26" i="54"/>
  <c r="AK25" i="54"/>
  <c r="AK24" i="54"/>
  <c r="AK23" i="54"/>
  <c r="AK22" i="54"/>
  <c r="AK21" i="54"/>
  <c r="AK20" i="54"/>
  <c r="AK19" i="54"/>
  <c r="AK18" i="54"/>
  <c r="AK17" i="54"/>
  <c r="AK16" i="54"/>
  <c r="AK15" i="54"/>
  <c r="AK14" i="54"/>
  <c r="AK13" i="54"/>
  <c r="AK12" i="54"/>
  <c r="AK11" i="54"/>
  <c r="AK10" i="54"/>
  <c r="AK9" i="54"/>
  <c r="AK8" i="54"/>
  <c r="AK7" i="54"/>
  <c r="AK6" i="54"/>
  <c r="AK5" i="54"/>
  <c r="AK4" i="54"/>
  <c r="AK31" i="54" s="1"/>
  <c r="AI30" i="54"/>
  <c r="AI29" i="54"/>
  <c r="AI28" i="54"/>
  <c r="AI27" i="54"/>
  <c r="AI26" i="54"/>
  <c r="AI25" i="54"/>
  <c r="AI24" i="54"/>
  <c r="AI23" i="54"/>
  <c r="AI22" i="54"/>
  <c r="AI21" i="54"/>
  <c r="AI20" i="54"/>
  <c r="AI19" i="54"/>
  <c r="AI18" i="54"/>
  <c r="AI17" i="54"/>
  <c r="AI16" i="54"/>
  <c r="AI15" i="54"/>
  <c r="AI14" i="54"/>
  <c r="AI13" i="54"/>
  <c r="AI12" i="54"/>
  <c r="AI11" i="54"/>
  <c r="AI10" i="54"/>
  <c r="AI9" i="54"/>
  <c r="AI8" i="54"/>
  <c r="AI7" i="54"/>
  <c r="AI6" i="54"/>
  <c r="AI5" i="54"/>
  <c r="AI4" i="54"/>
  <c r="AI31" i="54" s="1"/>
  <c r="AG30" i="54"/>
  <c r="AG29" i="54"/>
  <c r="AG28" i="54"/>
  <c r="AG27" i="54"/>
  <c r="AG26" i="54"/>
  <c r="AG25" i="54"/>
  <c r="AG24" i="54"/>
  <c r="AG23" i="54"/>
  <c r="AG22" i="54"/>
  <c r="AG21" i="54"/>
  <c r="AG20" i="54"/>
  <c r="AG19" i="54"/>
  <c r="AG18" i="54"/>
  <c r="AG17" i="54"/>
  <c r="AG16" i="54"/>
  <c r="AG15" i="54"/>
  <c r="AG14" i="54"/>
  <c r="AG13" i="54"/>
  <c r="AG12" i="54"/>
  <c r="AG11" i="54"/>
  <c r="AG10" i="54"/>
  <c r="AG9" i="54"/>
  <c r="AG8" i="54"/>
  <c r="AG7" i="54"/>
  <c r="AG6" i="54"/>
  <c r="AG5" i="54"/>
  <c r="AG4" i="54"/>
  <c r="AE30" i="54"/>
  <c r="AE29" i="54"/>
  <c r="AE28" i="54"/>
  <c r="AE27" i="54"/>
  <c r="AE26" i="54"/>
  <c r="AE25" i="54"/>
  <c r="AE24" i="54"/>
  <c r="AE23" i="54"/>
  <c r="AE22" i="54"/>
  <c r="AE21" i="54"/>
  <c r="AE20" i="54"/>
  <c r="AE19" i="54"/>
  <c r="AE18" i="54"/>
  <c r="AE17" i="54"/>
  <c r="AE16" i="54"/>
  <c r="AE15" i="54"/>
  <c r="AE14" i="54"/>
  <c r="AE13" i="54"/>
  <c r="AE12" i="54"/>
  <c r="AE11" i="54"/>
  <c r="AE10" i="54"/>
  <c r="AE9" i="54"/>
  <c r="AE8" i="54"/>
  <c r="AE7" i="54"/>
  <c r="AE6" i="54"/>
  <c r="AE5" i="54"/>
  <c r="AE4" i="54"/>
  <c r="AE31" i="54" s="1"/>
  <c r="AC30" i="54"/>
  <c r="AC29" i="54"/>
  <c r="AC28" i="54"/>
  <c r="AC27" i="54"/>
  <c r="AC26" i="54"/>
  <c r="AC25" i="54"/>
  <c r="AC24" i="54"/>
  <c r="AC23" i="54"/>
  <c r="AC22" i="54"/>
  <c r="AC21" i="54"/>
  <c r="AC20" i="54"/>
  <c r="AC19" i="54"/>
  <c r="AC18" i="54"/>
  <c r="AC17" i="54"/>
  <c r="AC16" i="54"/>
  <c r="AC15" i="54"/>
  <c r="AC14" i="54"/>
  <c r="AC13" i="54"/>
  <c r="AC12" i="54"/>
  <c r="AC11" i="54"/>
  <c r="AC10" i="54"/>
  <c r="AC9" i="54"/>
  <c r="AC8" i="54"/>
  <c r="AC7" i="54"/>
  <c r="AC6" i="54"/>
  <c r="AC5" i="54"/>
  <c r="AC4" i="54"/>
  <c r="AC31" i="54" s="1"/>
  <c r="AA30" i="54"/>
  <c r="AA29" i="54"/>
  <c r="AA28" i="54"/>
  <c r="AA27" i="54"/>
  <c r="AA26" i="54"/>
  <c r="AA25" i="54"/>
  <c r="AA24" i="54"/>
  <c r="AA23" i="54"/>
  <c r="AA22" i="54"/>
  <c r="AA21" i="54"/>
  <c r="AA20" i="54"/>
  <c r="AA19" i="54"/>
  <c r="AA18" i="54"/>
  <c r="AA17" i="54"/>
  <c r="AA16" i="54"/>
  <c r="AA15" i="54"/>
  <c r="AA14" i="54"/>
  <c r="AA13" i="54"/>
  <c r="AA12" i="54"/>
  <c r="AA11" i="54"/>
  <c r="AA10" i="54"/>
  <c r="AA9" i="54"/>
  <c r="AA8" i="54"/>
  <c r="AA7" i="54"/>
  <c r="AA6" i="54"/>
  <c r="AA5" i="54"/>
  <c r="AA4" i="54"/>
  <c r="AA31" i="54" s="1"/>
  <c r="Y30" i="54"/>
  <c r="Y29" i="54"/>
  <c r="Y28" i="54"/>
  <c r="Y27" i="54"/>
  <c r="Y26" i="54"/>
  <c r="Y25" i="54"/>
  <c r="Y24" i="54"/>
  <c r="Y23" i="54"/>
  <c r="Y22" i="54"/>
  <c r="Y21" i="54"/>
  <c r="Y20" i="54"/>
  <c r="Y19" i="54"/>
  <c r="Y18" i="54"/>
  <c r="Y17" i="54"/>
  <c r="Y16" i="54"/>
  <c r="Y15" i="54"/>
  <c r="Y14" i="54"/>
  <c r="Y13" i="54"/>
  <c r="Y12" i="54"/>
  <c r="Y11" i="54"/>
  <c r="Y10" i="54"/>
  <c r="Y9" i="54"/>
  <c r="Y8" i="54"/>
  <c r="Y7" i="54"/>
  <c r="Y6" i="54"/>
  <c r="Y5" i="54"/>
  <c r="Y4" i="54"/>
  <c r="Y31" i="54" s="1"/>
  <c r="W30" i="54"/>
  <c r="W29" i="54"/>
  <c r="W28" i="54"/>
  <c r="W27" i="54"/>
  <c r="W26" i="54"/>
  <c r="W25" i="54"/>
  <c r="W24" i="54"/>
  <c r="W23" i="54"/>
  <c r="W22" i="54"/>
  <c r="W21" i="54"/>
  <c r="W20" i="54"/>
  <c r="W19" i="54"/>
  <c r="W18" i="54"/>
  <c r="W17" i="54"/>
  <c r="W16" i="54"/>
  <c r="W15" i="54"/>
  <c r="W14" i="54"/>
  <c r="W13" i="54"/>
  <c r="W12" i="54"/>
  <c r="W11" i="54"/>
  <c r="W10" i="54"/>
  <c r="W9" i="54"/>
  <c r="W8" i="54"/>
  <c r="W7" i="54"/>
  <c r="W6" i="54"/>
  <c r="W5" i="54"/>
  <c r="W4" i="54"/>
  <c r="W31" i="54" s="1"/>
  <c r="U30" i="54"/>
  <c r="U29" i="54"/>
  <c r="U28" i="54"/>
  <c r="U27" i="54"/>
  <c r="U26" i="54"/>
  <c r="U25" i="54"/>
  <c r="U24" i="54"/>
  <c r="U23" i="54"/>
  <c r="U22" i="54"/>
  <c r="U21" i="54"/>
  <c r="U20" i="54"/>
  <c r="U19" i="54"/>
  <c r="U18" i="54"/>
  <c r="U17" i="54"/>
  <c r="U16" i="54"/>
  <c r="U15" i="54"/>
  <c r="U14" i="54"/>
  <c r="U13" i="54"/>
  <c r="U12" i="54"/>
  <c r="U11" i="54"/>
  <c r="U10" i="54"/>
  <c r="U9" i="54"/>
  <c r="U8" i="54"/>
  <c r="U7" i="54"/>
  <c r="U6" i="54"/>
  <c r="U5" i="54"/>
  <c r="U4" i="54"/>
  <c r="U31" i="54" s="1"/>
  <c r="S30" i="54"/>
  <c r="S29" i="54"/>
  <c r="S28" i="54"/>
  <c r="S27" i="54"/>
  <c r="S26" i="54"/>
  <c r="S25" i="54"/>
  <c r="S24" i="54"/>
  <c r="S23" i="54"/>
  <c r="S22" i="54"/>
  <c r="S21" i="54"/>
  <c r="S20" i="54"/>
  <c r="S19" i="54"/>
  <c r="S18" i="54"/>
  <c r="S17" i="54"/>
  <c r="S16" i="54"/>
  <c r="S15" i="54"/>
  <c r="S14" i="54"/>
  <c r="S13" i="54"/>
  <c r="S12" i="54"/>
  <c r="S11" i="54"/>
  <c r="S10" i="54"/>
  <c r="S9" i="54"/>
  <c r="S8" i="54"/>
  <c r="S7" i="54"/>
  <c r="S6" i="54"/>
  <c r="S5" i="54"/>
  <c r="S4" i="54"/>
  <c r="S31" i="54" s="1"/>
  <c r="Q30" i="54"/>
  <c r="Q29" i="54"/>
  <c r="Q28" i="54"/>
  <c r="Q27" i="54"/>
  <c r="Q26" i="54"/>
  <c r="Q25" i="54"/>
  <c r="Q24" i="54"/>
  <c r="Q23" i="54"/>
  <c r="Q22" i="54"/>
  <c r="Q21" i="54"/>
  <c r="Q20" i="54"/>
  <c r="Q19" i="54"/>
  <c r="Q18" i="54"/>
  <c r="Q17" i="54"/>
  <c r="Q16" i="54"/>
  <c r="Q15" i="54"/>
  <c r="Q14" i="54"/>
  <c r="Q13" i="54"/>
  <c r="Q12" i="54"/>
  <c r="Q11" i="54"/>
  <c r="Q10" i="54"/>
  <c r="Q9" i="54"/>
  <c r="Q8" i="54"/>
  <c r="Q7" i="54"/>
  <c r="Q6" i="54"/>
  <c r="Q5" i="54"/>
  <c r="Q4" i="54"/>
  <c r="O30" i="54"/>
  <c r="O29" i="54"/>
  <c r="O28" i="54"/>
  <c r="O27" i="54"/>
  <c r="O26" i="54"/>
  <c r="O25" i="54"/>
  <c r="O24" i="54"/>
  <c r="O23" i="54"/>
  <c r="O22" i="54"/>
  <c r="O21" i="54"/>
  <c r="O20" i="54"/>
  <c r="O19" i="54"/>
  <c r="O18" i="54"/>
  <c r="O17" i="54"/>
  <c r="O16" i="54"/>
  <c r="O15" i="54"/>
  <c r="O14" i="54"/>
  <c r="O13" i="54"/>
  <c r="O12" i="54"/>
  <c r="O11" i="54"/>
  <c r="O10" i="54"/>
  <c r="O9" i="54"/>
  <c r="O8" i="54"/>
  <c r="O7" i="54"/>
  <c r="O6" i="54"/>
  <c r="O5" i="54"/>
  <c r="O4" i="54"/>
  <c r="O31" i="54" s="1"/>
  <c r="M30" i="54"/>
  <c r="M29" i="54"/>
  <c r="M28" i="54"/>
  <c r="M27" i="54"/>
  <c r="M26" i="54"/>
  <c r="M25" i="54"/>
  <c r="M24" i="54"/>
  <c r="M23" i="54"/>
  <c r="M22" i="54"/>
  <c r="M21" i="54"/>
  <c r="M20" i="54"/>
  <c r="M19" i="54"/>
  <c r="M18" i="54"/>
  <c r="M17" i="54"/>
  <c r="M16" i="54"/>
  <c r="M15" i="54"/>
  <c r="M14" i="54"/>
  <c r="M13" i="54"/>
  <c r="M12" i="54"/>
  <c r="M11" i="54"/>
  <c r="M10" i="54"/>
  <c r="M9" i="54"/>
  <c r="M8" i="54"/>
  <c r="M7" i="54"/>
  <c r="M6" i="54"/>
  <c r="M5" i="54"/>
  <c r="M4" i="54"/>
  <c r="M31" i="54" s="1"/>
  <c r="K30" i="54"/>
  <c r="K29" i="54"/>
  <c r="K28" i="54"/>
  <c r="K27" i="54"/>
  <c r="K26" i="54"/>
  <c r="K25" i="54"/>
  <c r="K24" i="54"/>
  <c r="K23" i="54"/>
  <c r="K22" i="54"/>
  <c r="K21" i="54"/>
  <c r="K20" i="54"/>
  <c r="K19" i="54"/>
  <c r="K18" i="54"/>
  <c r="K17" i="54"/>
  <c r="K16" i="54"/>
  <c r="K15" i="54"/>
  <c r="K14" i="54"/>
  <c r="K13" i="54"/>
  <c r="K12" i="54"/>
  <c r="K11" i="54"/>
  <c r="K10" i="54"/>
  <c r="K9" i="54"/>
  <c r="K8" i="54"/>
  <c r="K7" i="54"/>
  <c r="K6" i="54"/>
  <c r="K5" i="54"/>
  <c r="K4" i="54"/>
  <c r="K31" i="54" s="1"/>
  <c r="I30" i="54"/>
  <c r="I29" i="54"/>
  <c r="I28" i="54"/>
  <c r="I27" i="54"/>
  <c r="I26" i="54"/>
  <c r="I25" i="54"/>
  <c r="I24" i="54"/>
  <c r="I23" i="54"/>
  <c r="I22" i="54"/>
  <c r="I21" i="54"/>
  <c r="I20" i="54"/>
  <c r="I19" i="54"/>
  <c r="I18" i="54"/>
  <c r="I17" i="54"/>
  <c r="I16" i="54"/>
  <c r="I15" i="54"/>
  <c r="I14" i="54"/>
  <c r="I13" i="54"/>
  <c r="I12" i="54"/>
  <c r="I11" i="54"/>
  <c r="I10" i="54"/>
  <c r="I9" i="54"/>
  <c r="I8" i="54"/>
  <c r="I7" i="54"/>
  <c r="I6" i="54"/>
  <c r="I5" i="54"/>
  <c r="I31" i="54" s="1"/>
  <c r="G30" i="54"/>
  <c r="G29" i="54"/>
  <c r="G28" i="54"/>
  <c r="G27" i="54"/>
  <c r="G26" i="54"/>
  <c r="G25" i="54"/>
  <c r="G24" i="54"/>
  <c r="G23" i="54"/>
  <c r="G22" i="54"/>
  <c r="G21" i="54"/>
  <c r="G20" i="54"/>
  <c r="G19" i="54"/>
  <c r="G18" i="54"/>
  <c r="G17" i="54"/>
  <c r="G16" i="54"/>
  <c r="G15" i="54"/>
  <c r="G14" i="54"/>
  <c r="G13" i="54"/>
  <c r="G12" i="54"/>
  <c r="G11" i="54"/>
  <c r="G10" i="54"/>
  <c r="G9" i="54"/>
  <c r="G8" i="54"/>
  <c r="G7" i="54"/>
  <c r="G6" i="54"/>
  <c r="G5" i="54"/>
  <c r="E5" i="54"/>
  <c r="E6" i="54"/>
  <c r="E7" i="54"/>
  <c r="E8" i="54"/>
  <c r="E9" i="54"/>
  <c r="E10" i="54"/>
  <c r="E11" i="54"/>
  <c r="E12" i="54"/>
  <c r="E13" i="54"/>
  <c r="E14" i="54"/>
  <c r="E15" i="54"/>
  <c r="E16" i="54"/>
  <c r="E17" i="54"/>
  <c r="E18" i="54"/>
  <c r="E19" i="54"/>
  <c r="E20" i="54"/>
  <c r="E21" i="54"/>
  <c r="E22" i="54"/>
  <c r="E23" i="54"/>
  <c r="E24" i="54"/>
  <c r="E25" i="54"/>
  <c r="E26" i="54"/>
  <c r="E27" i="54"/>
  <c r="E28" i="54"/>
  <c r="E29" i="54"/>
  <c r="E30" i="54"/>
  <c r="AG31" i="54"/>
  <c r="Q31" i="54"/>
  <c r="AN9" i="14"/>
  <c r="EA25" i="47" s="1"/>
  <c r="BL51" i="47"/>
  <c r="BV51" i="47"/>
  <c r="BQ51" i="47"/>
  <c r="O3" i="38"/>
  <c r="D1" i="38"/>
  <c r="I21" i="38"/>
  <c r="CC11" i="47"/>
  <c r="CC10" i="47"/>
  <c r="BZ6" i="47"/>
  <c r="BV6" i="47"/>
  <c r="BW5" i="47"/>
  <c r="BR6" i="47"/>
  <c r="D11" i="47"/>
  <c r="D9" i="47"/>
  <c r="D7" i="47"/>
  <c r="D6" i="47"/>
  <c r="BH51" i="47"/>
  <c r="K39" i="49"/>
  <c r="J39" i="49"/>
  <c r="L39" i="49"/>
  <c r="AR50" i="47"/>
  <c r="K39" i="36"/>
  <c r="L39" i="22"/>
  <c r="M39" i="22"/>
  <c r="J39" i="36"/>
  <c r="F39" i="22"/>
  <c r="G39" i="22"/>
  <c r="C2" i="45"/>
  <c r="C3" i="45" s="1"/>
  <c r="O8" i="49"/>
  <c r="O9" i="49"/>
  <c r="O10" i="49"/>
  <c r="O11" i="49"/>
  <c r="O12" i="49"/>
  <c r="O13" i="49"/>
  <c r="O14" i="49"/>
  <c r="O15" i="49"/>
  <c r="O16" i="49"/>
  <c r="O17" i="49"/>
  <c r="O18" i="49"/>
  <c r="O19" i="49"/>
  <c r="O20" i="49"/>
  <c r="O21" i="49"/>
  <c r="O22" i="49"/>
  <c r="O23" i="49"/>
  <c r="O24" i="49"/>
  <c r="O25" i="49"/>
  <c r="O26" i="49"/>
  <c r="O27" i="49"/>
  <c r="O28" i="49"/>
  <c r="O29" i="49"/>
  <c r="O30" i="49"/>
  <c r="O31" i="49"/>
  <c r="O32" i="49"/>
  <c r="O33" i="49"/>
  <c r="O34" i="49"/>
  <c r="O35" i="49"/>
  <c r="O36" i="49"/>
  <c r="O37" i="49"/>
  <c r="O38" i="49"/>
  <c r="O39" i="49"/>
  <c r="O7" i="49"/>
  <c r="P7" i="49"/>
  <c r="I40" i="49"/>
  <c r="G40" i="49"/>
  <c r="I40" i="36"/>
  <c r="G40" i="36"/>
  <c r="CA51" i="47"/>
  <c r="BB51" i="47"/>
  <c r="H40" i="49"/>
  <c r="H40" i="36"/>
  <c r="B38" i="36"/>
  <c r="Q39" i="49"/>
  <c r="P39" i="49"/>
  <c r="P39" i="34"/>
  <c r="Q38" i="49"/>
  <c r="P38" i="49"/>
  <c r="C38" i="49"/>
  <c r="B38" i="49"/>
  <c r="J38" i="49"/>
  <c r="Q37" i="49"/>
  <c r="P37" i="49"/>
  <c r="C37" i="49"/>
  <c r="B37" i="49"/>
  <c r="K37" i="49"/>
  <c r="P37" i="34"/>
  <c r="Q36" i="49"/>
  <c r="P36" i="49"/>
  <c r="C36" i="49"/>
  <c r="B36" i="49"/>
  <c r="Q35" i="49"/>
  <c r="P35" i="49"/>
  <c r="C35" i="49"/>
  <c r="B35" i="49"/>
  <c r="J35" i="49"/>
  <c r="Q34" i="49"/>
  <c r="P34" i="49"/>
  <c r="C34" i="49"/>
  <c r="B34" i="49"/>
  <c r="K34" i="49"/>
  <c r="P34" i="34"/>
  <c r="Q33" i="49"/>
  <c r="P33" i="49"/>
  <c r="C33" i="49"/>
  <c r="B33" i="49"/>
  <c r="K33" i="49"/>
  <c r="P33" i="34"/>
  <c r="Q32" i="49"/>
  <c r="P32" i="49"/>
  <c r="C32" i="49"/>
  <c r="B32" i="49"/>
  <c r="J32" i="49"/>
  <c r="Q31" i="49"/>
  <c r="P31" i="49"/>
  <c r="C31" i="49"/>
  <c r="B31" i="49"/>
  <c r="K31" i="49"/>
  <c r="P31" i="34"/>
  <c r="Q30" i="49"/>
  <c r="P30" i="49"/>
  <c r="C30" i="49"/>
  <c r="B30" i="49"/>
  <c r="K30" i="49"/>
  <c r="P30" i="34"/>
  <c r="Q29" i="49"/>
  <c r="P29" i="49"/>
  <c r="C29" i="49"/>
  <c r="B29" i="49"/>
  <c r="Q28" i="49"/>
  <c r="P28" i="49"/>
  <c r="C28" i="49"/>
  <c r="B28" i="49"/>
  <c r="J28" i="49"/>
  <c r="Q27" i="49"/>
  <c r="P27" i="49"/>
  <c r="C27" i="49"/>
  <c r="B27" i="49"/>
  <c r="K27" i="49"/>
  <c r="P27" i="34"/>
  <c r="Q26" i="49"/>
  <c r="P26" i="49"/>
  <c r="C26" i="49"/>
  <c r="B26" i="49"/>
  <c r="K26" i="49"/>
  <c r="P26" i="34"/>
  <c r="Q25" i="49"/>
  <c r="P25" i="49"/>
  <c r="C25" i="49"/>
  <c r="B25" i="49"/>
  <c r="K25" i="49"/>
  <c r="P25" i="34"/>
  <c r="Q24" i="49"/>
  <c r="P24" i="49"/>
  <c r="C24" i="49"/>
  <c r="B24" i="49"/>
  <c r="J24" i="49"/>
  <c r="Q23" i="49"/>
  <c r="P23" i="49"/>
  <c r="C23" i="49"/>
  <c r="B23" i="49"/>
  <c r="Q22" i="49"/>
  <c r="P22" i="49"/>
  <c r="C22" i="49"/>
  <c r="B22" i="49"/>
  <c r="J22" i="49"/>
  <c r="Q21" i="49"/>
  <c r="P21" i="49"/>
  <c r="C21" i="49"/>
  <c r="B21" i="49"/>
  <c r="K21" i="49"/>
  <c r="P21" i="34"/>
  <c r="Q20" i="49"/>
  <c r="P20" i="49"/>
  <c r="Q19" i="49"/>
  <c r="P19" i="49"/>
  <c r="C19" i="49"/>
  <c r="B19" i="49"/>
  <c r="K20" i="49"/>
  <c r="P20" i="34"/>
  <c r="Q18" i="49"/>
  <c r="P18" i="49"/>
  <c r="C18" i="49"/>
  <c r="B18" i="49"/>
  <c r="Q17" i="49"/>
  <c r="P17" i="49"/>
  <c r="C17" i="49"/>
  <c r="B17" i="49"/>
  <c r="K17" i="49"/>
  <c r="P17" i="34"/>
  <c r="Q16" i="49"/>
  <c r="P16" i="49"/>
  <c r="C16" i="49"/>
  <c r="B16" i="49"/>
  <c r="Q15" i="49"/>
  <c r="P15" i="49"/>
  <c r="C15" i="49"/>
  <c r="B15" i="49"/>
  <c r="K15" i="49"/>
  <c r="P15" i="34"/>
  <c r="Q14" i="49"/>
  <c r="P14" i="49"/>
  <c r="C14" i="49"/>
  <c r="B14" i="49"/>
  <c r="K14" i="49"/>
  <c r="P14" i="34"/>
  <c r="Q13" i="49"/>
  <c r="P13" i="49"/>
  <c r="Q12" i="49"/>
  <c r="P12" i="49"/>
  <c r="C12" i="49"/>
  <c r="B12" i="49"/>
  <c r="J13" i="49"/>
  <c r="Q11" i="49"/>
  <c r="P11" i="49"/>
  <c r="C11" i="49"/>
  <c r="B11" i="49"/>
  <c r="K11" i="49"/>
  <c r="P11" i="34"/>
  <c r="Q10" i="49"/>
  <c r="P10" i="49"/>
  <c r="C10" i="49"/>
  <c r="B10" i="49"/>
  <c r="J10" i="49"/>
  <c r="Q9" i="49"/>
  <c r="P9" i="49"/>
  <c r="C9" i="49"/>
  <c r="B9" i="49"/>
  <c r="J9" i="49"/>
  <c r="Q8" i="49"/>
  <c r="P8" i="49"/>
  <c r="Q7" i="49"/>
  <c r="C7" i="49"/>
  <c r="B7" i="49"/>
  <c r="K8" i="49" s="1"/>
  <c r="P8" i="34" s="1"/>
  <c r="K7" i="49"/>
  <c r="P7" i="34"/>
  <c r="L5" i="49"/>
  <c r="AQ15" i="11"/>
  <c r="BJ6" i="47"/>
  <c r="AG28" i="14"/>
  <c r="AH29" i="14" s="1"/>
  <c r="AB15" i="47"/>
  <c r="AR17" i="47" s="1"/>
  <c r="T39" i="34"/>
  <c r="S39" i="34"/>
  <c r="R39" i="34"/>
  <c r="N39" i="22"/>
  <c r="O39" i="22"/>
  <c r="P39" i="22"/>
  <c r="C38" i="42"/>
  <c r="B38" i="42"/>
  <c r="O38" i="42" s="1"/>
  <c r="F38" i="37" s="1"/>
  <c r="G38" i="37" s="1"/>
  <c r="C38" i="36"/>
  <c r="EA53" i="47"/>
  <c r="EA49" i="47"/>
  <c r="EA48" i="47"/>
  <c r="Z40" i="14"/>
  <c r="EA51" i="47" s="1"/>
  <c r="C2" i="40"/>
  <c r="C3" i="40" s="1"/>
  <c r="AN50" i="14"/>
  <c r="EA57" i="47" s="1"/>
  <c r="K27" i="38"/>
  <c r="K24" i="38"/>
  <c r="K23" i="38"/>
  <c r="K22" i="38"/>
  <c r="K21" i="38"/>
  <c r="K20" i="38"/>
  <c r="K19" i="38"/>
  <c r="K18" i="38"/>
  <c r="K17" i="38"/>
  <c r="K9" i="38"/>
  <c r="K7" i="38"/>
  <c r="K6" i="38"/>
  <c r="K34" i="38"/>
  <c r="AN7" i="14"/>
  <c r="EA23" i="47" s="1"/>
  <c r="AG36" i="14"/>
  <c r="AG37" i="14"/>
  <c r="AG35" i="14"/>
  <c r="AH35" i="14" s="1"/>
  <c r="AG6" i="14"/>
  <c r="AG7" i="14"/>
  <c r="AG8" i="14"/>
  <c r="AG9" i="14"/>
  <c r="AG10" i="14"/>
  <c r="C2" i="7"/>
  <c r="C3" i="7" s="1"/>
  <c r="AG25" i="14"/>
  <c r="AG31" i="14"/>
  <c r="AG32" i="14"/>
  <c r="AG50" i="14"/>
  <c r="AN8" i="14"/>
  <c r="EA24" i="47" s="1"/>
  <c r="AN6" i="14"/>
  <c r="EA22" i="47" s="1"/>
  <c r="G18" i="41"/>
  <c r="E6" i="31" s="1"/>
  <c r="AM8" i="11" s="1"/>
  <c r="AP14" i="11"/>
  <c r="BS5" i="47" s="1"/>
  <c r="K41" i="38"/>
  <c r="K39" i="38"/>
  <c r="K38" i="38"/>
  <c r="G19" i="38"/>
  <c r="B10" i="42"/>
  <c r="O10" i="42" s="1"/>
  <c r="F10" i="37" s="1"/>
  <c r="G10" i="37" s="1"/>
  <c r="AN48" i="14"/>
  <c r="EA55" i="47" s="1"/>
  <c r="AN32" i="14"/>
  <c r="EA45" i="47" s="1"/>
  <c r="AN31" i="14"/>
  <c r="EA44" i="47" s="1"/>
  <c r="AN28" i="14"/>
  <c r="EA42" i="47" s="1"/>
  <c r="AN25" i="14"/>
  <c r="EA40" i="47" s="1"/>
  <c r="AN10" i="14"/>
  <c r="EA26" i="47" s="1"/>
  <c r="K11" i="38"/>
  <c r="F39" i="37"/>
  <c r="F20" i="37"/>
  <c r="G20" i="37"/>
  <c r="F13" i="37"/>
  <c r="G13" i="37"/>
  <c r="F8" i="37"/>
  <c r="G8" i="37"/>
  <c r="G2" i="4"/>
  <c r="B9" i="42"/>
  <c r="O9" i="42" s="1"/>
  <c r="F9" i="37" s="1"/>
  <c r="B9" i="36"/>
  <c r="K9" i="36"/>
  <c r="L9" i="22"/>
  <c r="B11" i="21"/>
  <c r="C28" i="42"/>
  <c r="C28" i="36"/>
  <c r="C28" i="38"/>
  <c r="AN12" i="11"/>
  <c r="F5" i="47"/>
  <c r="M34" i="38"/>
  <c r="N34" i="38"/>
  <c r="M35" i="38"/>
  <c r="N35" i="38"/>
  <c r="M36" i="38"/>
  <c r="N36" i="38"/>
  <c r="M37" i="38"/>
  <c r="N37" i="38"/>
  <c r="M38" i="38"/>
  <c r="N38" i="38"/>
  <c r="M39" i="38"/>
  <c r="N39" i="38"/>
  <c r="L17" i="38"/>
  <c r="L18" i="38"/>
  <c r="L19" i="38"/>
  <c r="L20" i="38"/>
  <c r="L21" i="38"/>
  <c r="L22" i="38"/>
  <c r="L23" i="38"/>
  <c r="L24" i="38"/>
  <c r="M40" i="38"/>
  <c r="N40" i="38"/>
  <c r="M41" i="38"/>
  <c r="N41" i="38"/>
  <c r="B29" i="36"/>
  <c r="K29" i="36"/>
  <c r="L29" i="22"/>
  <c r="B29" i="42"/>
  <c r="O29" i="42" s="1"/>
  <c r="F29" i="37" s="1"/>
  <c r="G29" i="37" s="1"/>
  <c r="B30" i="36"/>
  <c r="J30" i="36"/>
  <c r="B30" i="42"/>
  <c r="O30" i="42" s="1"/>
  <c r="B31" i="36"/>
  <c r="K31" i="36"/>
  <c r="L31" i="22"/>
  <c r="B31" i="42"/>
  <c r="O31" i="42" s="1"/>
  <c r="F31" i="37"/>
  <c r="C31" i="42"/>
  <c r="B32" i="42"/>
  <c r="O32" i="42" s="1"/>
  <c r="F32" i="37"/>
  <c r="C32" i="42"/>
  <c r="B32" i="36"/>
  <c r="K32" i="36"/>
  <c r="L32" i="22"/>
  <c r="C32" i="36"/>
  <c r="L27" i="38"/>
  <c r="B33" i="36"/>
  <c r="J33" i="36"/>
  <c r="B33" i="42"/>
  <c r="O33" i="42" s="1"/>
  <c r="B34" i="36"/>
  <c r="B34" i="22"/>
  <c r="B34" i="42"/>
  <c r="O34" i="42" s="1"/>
  <c r="F34" i="37"/>
  <c r="B35" i="36"/>
  <c r="K35" i="36"/>
  <c r="L35" i="22"/>
  <c r="C35" i="36"/>
  <c r="B46" i="47"/>
  <c r="B35" i="42"/>
  <c r="O35" i="42" s="1"/>
  <c r="F35" i="37" s="1"/>
  <c r="G35" i="37" s="1"/>
  <c r="B7" i="42"/>
  <c r="O7" i="42" s="1"/>
  <c r="F7" i="37" s="1"/>
  <c r="C7" i="42"/>
  <c r="C9" i="42"/>
  <c r="B11" i="42"/>
  <c r="O11" i="42" s="1"/>
  <c r="B12" i="42"/>
  <c r="O12" i="42" s="1"/>
  <c r="F12" i="37" s="1"/>
  <c r="C12" i="42"/>
  <c r="B14" i="42"/>
  <c r="O14" i="42" s="1"/>
  <c r="F14" i="37"/>
  <c r="B15" i="42"/>
  <c r="O15" i="42" s="1"/>
  <c r="F15" i="37" s="1"/>
  <c r="G15" i="37" s="1"/>
  <c r="B16" i="42"/>
  <c r="O16" i="42" s="1"/>
  <c r="B17" i="42"/>
  <c r="O17" i="42" s="1"/>
  <c r="F17" i="37"/>
  <c r="C17" i="42"/>
  <c r="B18" i="42"/>
  <c r="O18" i="42" s="1"/>
  <c r="F18" i="37"/>
  <c r="B19" i="42"/>
  <c r="O19" i="42" s="1"/>
  <c r="C19" i="42"/>
  <c r="B21" i="42"/>
  <c r="O21" i="42" s="1"/>
  <c r="F21" i="37"/>
  <c r="B22" i="42"/>
  <c r="O22" i="42" s="1"/>
  <c r="F22" i="37"/>
  <c r="C22" i="42"/>
  <c r="B23" i="42"/>
  <c r="O23" i="42" s="1"/>
  <c r="F23" i="37" s="1"/>
  <c r="G23" i="37" s="1"/>
  <c r="C23" i="42"/>
  <c r="B24" i="42"/>
  <c r="O24" i="42" s="1"/>
  <c r="F24" i="37"/>
  <c r="B25" i="42"/>
  <c r="O25" i="42" s="1"/>
  <c r="B26" i="42"/>
  <c r="O26" i="42" s="1"/>
  <c r="C26" i="42"/>
  <c r="B27" i="42"/>
  <c r="O27" i="42" s="1"/>
  <c r="F27" i="37"/>
  <c r="B28" i="42"/>
  <c r="O28" i="42" s="1"/>
  <c r="C35" i="42"/>
  <c r="B36" i="42"/>
  <c r="O36" i="42" s="1"/>
  <c r="F36" i="37" s="1"/>
  <c r="G36" i="37" s="1"/>
  <c r="B37" i="42"/>
  <c r="O37" i="42" s="1"/>
  <c r="F37" i="37" s="1"/>
  <c r="G37" i="37" s="1"/>
  <c r="B7" i="36"/>
  <c r="K7" i="36" s="1"/>
  <c r="C7" i="36"/>
  <c r="C9" i="36"/>
  <c r="B20" i="47"/>
  <c r="B22" i="36"/>
  <c r="K22" i="36"/>
  <c r="L22" i="22"/>
  <c r="M22" i="22"/>
  <c r="C24" i="38"/>
  <c r="C18" i="38"/>
  <c r="C37" i="42"/>
  <c r="C36" i="42"/>
  <c r="C34" i="42"/>
  <c r="C33" i="42"/>
  <c r="C30" i="42"/>
  <c r="C29" i="42"/>
  <c r="C27" i="42"/>
  <c r="C25" i="42"/>
  <c r="C24" i="42"/>
  <c r="C21" i="42"/>
  <c r="C18" i="42"/>
  <c r="C16" i="42"/>
  <c r="C15" i="42"/>
  <c r="C14" i="42"/>
  <c r="C11" i="42"/>
  <c r="C10" i="42"/>
  <c r="B12" i="36"/>
  <c r="K13" i="36"/>
  <c r="L13" i="22"/>
  <c r="C12" i="36"/>
  <c r="B19" i="36"/>
  <c r="C19" i="36"/>
  <c r="B10" i="36"/>
  <c r="K10" i="36"/>
  <c r="L10" i="22"/>
  <c r="B11" i="36"/>
  <c r="B11" i="34"/>
  <c r="B14" i="36"/>
  <c r="K14" i="36"/>
  <c r="L14" i="22"/>
  <c r="B15" i="36"/>
  <c r="J15" i="36"/>
  <c r="B16" i="36"/>
  <c r="J16" i="36"/>
  <c r="B17" i="36"/>
  <c r="K17" i="36"/>
  <c r="L17" i="22"/>
  <c r="C17" i="36"/>
  <c r="B18" i="36"/>
  <c r="K18" i="36"/>
  <c r="L18" i="22"/>
  <c r="B21" i="36"/>
  <c r="J21" i="36"/>
  <c r="C22" i="36"/>
  <c r="B23" i="36"/>
  <c r="C23" i="36"/>
  <c r="B34" i="47"/>
  <c r="B24" i="36"/>
  <c r="J24" i="36"/>
  <c r="B25" i="36"/>
  <c r="B25" i="34"/>
  <c r="B26" i="36"/>
  <c r="K26" i="36"/>
  <c r="L26" i="22"/>
  <c r="C26" i="36"/>
  <c r="B27" i="36"/>
  <c r="K27" i="36"/>
  <c r="L27" i="22"/>
  <c r="B28" i="36"/>
  <c r="K28" i="36"/>
  <c r="L28" i="22"/>
  <c r="B36" i="36"/>
  <c r="K36" i="36"/>
  <c r="L36" i="22"/>
  <c r="B37" i="36"/>
  <c r="C37" i="36"/>
  <c r="B48" i="47"/>
  <c r="C36" i="36"/>
  <c r="B47" i="47"/>
  <c r="C34" i="36"/>
  <c r="C33" i="36"/>
  <c r="C31" i="36"/>
  <c r="C30" i="36"/>
  <c r="B41" i="47"/>
  <c r="C29" i="36"/>
  <c r="B40" i="47"/>
  <c r="C27" i="36"/>
  <c r="C25" i="36"/>
  <c r="B36" i="47"/>
  <c r="C24" i="36"/>
  <c r="C21" i="36"/>
  <c r="B32" i="47"/>
  <c r="C18" i="36"/>
  <c r="C16" i="36"/>
  <c r="C15" i="36"/>
  <c r="C14" i="36"/>
  <c r="C11" i="36"/>
  <c r="C10" i="36"/>
  <c r="B21" i="47"/>
  <c r="H4" i="38"/>
  <c r="F40" i="37"/>
  <c r="L5" i="36"/>
  <c r="G53" i="38"/>
  <c r="AJ58" i="47"/>
  <c r="G52" i="38"/>
  <c r="AJ57" i="47"/>
  <c r="G51" i="38"/>
  <c r="AJ56" i="47"/>
  <c r="G50" i="38"/>
  <c r="AJ55" i="47"/>
  <c r="D55" i="38"/>
  <c r="N60" i="47"/>
  <c r="D54" i="38"/>
  <c r="N59" i="47"/>
  <c r="D53" i="38"/>
  <c r="N58" i="47"/>
  <c r="D52" i="38"/>
  <c r="N57" i="47"/>
  <c r="D51" i="38"/>
  <c r="N56" i="47"/>
  <c r="D50" i="38"/>
  <c r="N55" i="47"/>
  <c r="D49" i="38"/>
  <c r="N54" i="47"/>
  <c r="H39" i="22"/>
  <c r="I39" i="22"/>
  <c r="J39" i="22"/>
  <c r="AN13" i="11"/>
  <c r="CA8" i="47" s="1"/>
  <c r="J39" i="37"/>
  <c r="I39" i="37"/>
  <c r="H39" i="37"/>
  <c r="G39" i="37"/>
  <c r="J39" i="34"/>
  <c r="I39" i="34"/>
  <c r="H39" i="34"/>
  <c r="V39" i="34"/>
  <c r="L39" i="34"/>
  <c r="B43" i="47"/>
  <c r="B45" i="47"/>
  <c r="B31" i="37"/>
  <c r="B19" i="21"/>
  <c r="B17" i="22"/>
  <c r="B11" i="22"/>
  <c r="J11" i="22"/>
  <c r="B9" i="22"/>
  <c r="B9" i="34"/>
  <c r="B33" i="22"/>
  <c r="H19" i="38"/>
  <c r="K14" i="38"/>
  <c r="E45" i="38"/>
  <c r="L2" i="4"/>
  <c r="O3" i="4"/>
  <c r="B28" i="47"/>
  <c r="B27" i="21"/>
  <c r="B18" i="47"/>
  <c r="B27" i="22"/>
  <c r="K37" i="38"/>
  <c r="I37" i="38"/>
  <c r="E37" i="38"/>
  <c r="BG57" i="47" s="1"/>
  <c r="G49" i="38"/>
  <c r="AJ54" i="47"/>
  <c r="B49" i="47"/>
  <c r="B14" i="22"/>
  <c r="B14" i="34"/>
  <c r="R14" i="34"/>
  <c r="B16" i="21"/>
  <c r="B14" i="37"/>
  <c r="I14" i="37"/>
  <c r="B21" i="21"/>
  <c r="B35" i="47"/>
  <c r="B34" i="34"/>
  <c r="B26" i="21"/>
  <c r="B21" i="37"/>
  <c r="B21" i="34"/>
  <c r="B21" i="22"/>
  <c r="O21" i="22"/>
  <c r="B23" i="37"/>
  <c r="B38" i="34"/>
  <c r="B26" i="37"/>
  <c r="B26" i="34"/>
  <c r="B28" i="21"/>
  <c r="B30" i="47"/>
  <c r="B29" i="37"/>
  <c r="B29" i="34"/>
  <c r="B42" i="47"/>
  <c r="B28" i="22"/>
  <c r="B28" i="34"/>
  <c r="T28" i="34"/>
  <c r="B30" i="21"/>
  <c r="B26" i="47"/>
  <c r="B23" i="47"/>
  <c r="B33" i="34"/>
  <c r="B33" i="37"/>
  <c r="B35" i="21"/>
  <c r="B31" i="21"/>
  <c r="K12" i="38"/>
  <c r="K36" i="38"/>
  <c r="I36" i="38"/>
  <c r="E36" i="38"/>
  <c r="BG56" i="47" s="1"/>
  <c r="N3" i="4"/>
  <c r="M3" i="4"/>
  <c r="B28" i="37"/>
  <c r="B33" i="47"/>
  <c r="I3" i="4"/>
  <c r="J3" i="4"/>
  <c r="H3" i="4"/>
  <c r="G3" i="4"/>
  <c r="B9" i="37"/>
  <c r="B44" i="47"/>
  <c r="B12" i="21"/>
  <c r="B13" i="21"/>
  <c r="B23" i="21"/>
  <c r="B15" i="34"/>
  <c r="R15" i="34"/>
  <c r="B15" i="22"/>
  <c r="B15" i="37"/>
  <c r="B17" i="21"/>
  <c r="B9" i="21"/>
  <c r="B38" i="47"/>
  <c r="B18" i="34"/>
  <c r="B18" i="37"/>
  <c r="B18" i="22"/>
  <c r="O18" i="22"/>
  <c r="B20" i="21"/>
  <c r="B24" i="34"/>
  <c r="B24" i="37"/>
  <c r="H24" i="37"/>
  <c r="B24" i="22"/>
  <c r="B29" i="47"/>
  <c r="B25" i="37"/>
  <c r="B10" i="34"/>
  <c r="B27" i="47"/>
  <c r="B33" i="21"/>
  <c r="B25" i="22"/>
  <c r="B10" i="22"/>
  <c r="L39" i="36"/>
  <c r="AB50" i="47"/>
  <c r="B31" i="34"/>
  <c r="L7" i="22"/>
  <c r="B37" i="47"/>
  <c r="B16" i="22"/>
  <c r="B30" i="22"/>
  <c r="B18" i="21"/>
  <c r="B22" i="47"/>
  <c r="B32" i="21"/>
  <c r="B37" i="22"/>
  <c r="H37" i="22"/>
  <c r="B39" i="21"/>
  <c r="B7" i="37"/>
  <c r="B7" i="22"/>
  <c r="P7" i="22" s="1"/>
  <c r="B39" i="47"/>
  <c r="B25" i="47"/>
  <c r="B12" i="22"/>
  <c r="B14" i="21"/>
  <c r="B12" i="37"/>
  <c r="B12" i="34"/>
  <c r="H14" i="37"/>
  <c r="B13" i="22"/>
  <c r="B8" i="22"/>
  <c r="N7" i="22"/>
  <c r="B8" i="37"/>
  <c r="B13" i="37"/>
  <c r="Q39" i="34"/>
  <c r="F39" i="34"/>
  <c r="G39" i="34"/>
  <c r="J19" i="49"/>
  <c r="J19" i="36"/>
  <c r="J20" i="49"/>
  <c r="F20" i="34"/>
  <c r="J20" i="36"/>
  <c r="F20" i="22"/>
  <c r="K19" i="49"/>
  <c r="P19" i="34"/>
  <c r="K19" i="36"/>
  <c r="L19" i="36" s="1"/>
  <c r="L19" i="22"/>
  <c r="P13" i="22"/>
  <c r="O13" i="22"/>
  <c r="N13" i="22"/>
  <c r="K40" i="36"/>
  <c r="L40" i="22"/>
  <c r="O9" i="22"/>
  <c r="P9" i="22"/>
  <c r="N9" i="22"/>
  <c r="M9" i="22" s="1"/>
  <c r="P11" i="21" s="1"/>
  <c r="T11" i="21" s="1"/>
  <c r="M13" i="22"/>
  <c r="P15" i="21"/>
  <c r="T15" i="21"/>
  <c r="F9" i="34"/>
  <c r="J9" i="34"/>
  <c r="F13" i="34"/>
  <c r="H9" i="34"/>
  <c r="I9" i="34"/>
  <c r="B19" i="37"/>
  <c r="B20" i="37"/>
  <c r="G9" i="34"/>
  <c r="L25" i="38"/>
  <c r="G55" i="38"/>
  <c r="AJ60" i="47"/>
  <c r="K28" i="38"/>
  <c r="K29" i="38"/>
  <c r="B2" i="39"/>
  <c r="E3" i="39"/>
  <c r="L3" i="4"/>
  <c r="EA15" i="47"/>
  <c r="B2" i="4"/>
  <c r="K25" i="38"/>
  <c r="G54" i="38"/>
  <c r="AJ59" i="47"/>
  <c r="E46" i="38"/>
  <c r="EA17" i="47"/>
  <c r="C3" i="4"/>
  <c r="C3" i="39"/>
  <c r="D3" i="39"/>
  <c r="B3" i="39"/>
  <c r="F46" i="38"/>
  <c r="L5" i="4"/>
  <c r="L7" i="4"/>
  <c r="L6" i="21"/>
  <c r="T6" i="21"/>
  <c r="EK17" i="47"/>
  <c r="G5" i="4"/>
  <c r="D3" i="4"/>
  <c r="E3" i="4"/>
  <c r="B3" i="4"/>
  <c r="F45" i="38"/>
  <c r="G7" i="4"/>
  <c r="H6" i="21"/>
  <c r="P6" i="21"/>
  <c r="EK15" i="47"/>
  <c r="F47" i="38"/>
  <c r="X3" i="38"/>
  <c r="EK18" i="47"/>
  <c r="AW3" i="14"/>
  <c r="R4" i="36"/>
  <c r="W4" i="42"/>
  <c r="V4" i="49"/>
  <c r="K40" i="38"/>
  <c r="I40" i="38"/>
  <c r="K16" i="49"/>
  <c r="P16" i="34"/>
  <c r="J16" i="49"/>
  <c r="F16" i="34"/>
  <c r="J18" i="49"/>
  <c r="K18" i="49"/>
  <c r="P18" i="34"/>
  <c r="K36" i="49"/>
  <c r="P36" i="34"/>
  <c r="B40" i="21"/>
  <c r="J38" i="36"/>
  <c r="K38" i="36"/>
  <c r="L38" i="22"/>
  <c r="B38" i="22"/>
  <c r="J38" i="22"/>
  <c r="B38" i="37"/>
  <c r="K10" i="49"/>
  <c r="P10" i="34"/>
  <c r="B37" i="34"/>
  <c r="I37" i="34"/>
  <c r="J37" i="36"/>
  <c r="B37" i="37"/>
  <c r="J37" i="37"/>
  <c r="K37" i="36"/>
  <c r="L37" i="22"/>
  <c r="K29" i="49"/>
  <c r="P29" i="34"/>
  <c r="J29" i="49"/>
  <c r="F29" i="34"/>
  <c r="K22" i="49"/>
  <c r="P22" i="34"/>
  <c r="K16" i="36"/>
  <c r="L16" i="22"/>
  <c r="J36" i="49"/>
  <c r="L36" i="49"/>
  <c r="AR47" i="47"/>
  <c r="B13" i="34"/>
  <c r="B29" i="22"/>
  <c r="J7" i="36"/>
  <c r="F7" i="22"/>
  <c r="J17" i="36"/>
  <c r="F17" i="22"/>
  <c r="J31" i="36"/>
  <c r="L31" i="36"/>
  <c r="AB42" i="47"/>
  <c r="K11" i="36"/>
  <c r="L11" i="22"/>
  <c r="K24" i="36"/>
  <c r="L24" i="22"/>
  <c r="K30" i="36"/>
  <c r="L30" i="22"/>
  <c r="K33" i="36"/>
  <c r="L33" i="22"/>
  <c r="P33" i="22"/>
  <c r="J25" i="49"/>
  <c r="J33" i="49"/>
  <c r="F33" i="34"/>
  <c r="K32" i="49"/>
  <c r="P32" i="34"/>
  <c r="K35" i="49"/>
  <c r="P35" i="34"/>
  <c r="B7" i="34"/>
  <c r="B31" i="22"/>
  <c r="J11" i="36"/>
  <c r="J18" i="36"/>
  <c r="L18" i="36"/>
  <c r="AB29" i="47"/>
  <c r="J26" i="36"/>
  <c r="K12" i="36"/>
  <c r="L12" i="22"/>
  <c r="K21" i="36"/>
  <c r="L21" i="36" s="1"/>
  <c r="L21" i="22"/>
  <c r="J15" i="49"/>
  <c r="F15" i="34"/>
  <c r="J21" i="49"/>
  <c r="L21" i="49"/>
  <c r="AR32" i="47"/>
  <c r="J26" i="49"/>
  <c r="J30" i="49"/>
  <c r="L30" i="49"/>
  <c r="AR41" i="47"/>
  <c r="J34" i="49"/>
  <c r="F34" i="34"/>
  <c r="K9" i="49"/>
  <c r="L9" i="49" s="1"/>
  <c r="P9" i="34"/>
  <c r="K12" i="49"/>
  <c r="P12" i="34"/>
  <c r="K38" i="49"/>
  <c r="P38" i="34"/>
  <c r="B27" i="34"/>
  <c r="J8" i="36"/>
  <c r="J12" i="36"/>
  <c r="K8" i="36"/>
  <c r="L8" i="22"/>
  <c r="J37" i="49"/>
  <c r="K23" i="49"/>
  <c r="P23" i="34"/>
  <c r="J9" i="36"/>
  <c r="J13" i="36"/>
  <c r="J27" i="36"/>
  <c r="L27" i="36"/>
  <c r="AB38" i="47"/>
  <c r="K34" i="36"/>
  <c r="L34" i="22"/>
  <c r="J7" i="49"/>
  <c r="L7" i="49"/>
  <c r="AR18" i="47"/>
  <c r="J12" i="49"/>
  <c r="J31" i="49"/>
  <c r="F31" i="34"/>
  <c r="K13" i="49"/>
  <c r="L13" i="49" s="1"/>
  <c r="P13" i="34"/>
  <c r="B10" i="37"/>
  <c r="J14" i="36"/>
  <c r="F14" i="22"/>
  <c r="J23" i="36"/>
  <c r="F23" i="22"/>
  <c r="J28" i="36"/>
  <c r="L28" i="36"/>
  <c r="AB39" i="47"/>
  <c r="J17" i="49"/>
  <c r="L17" i="49"/>
  <c r="AR28" i="47"/>
  <c r="J27" i="49"/>
  <c r="F27" i="34"/>
  <c r="J8" i="49"/>
  <c r="J14" i="49"/>
  <c r="L14" i="49"/>
  <c r="AR25" i="47"/>
  <c r="F37" i="34"/>
  <c r="L37" i="49"/>
  <c r="AR48" i="47"/>
  <c r="L17" i="36"/>
  <c r="AB28" i="47"/>
  <c r="F25" i="34"/>
  <c r="J25" i="34"/>
  <c r="L25" i="49"/>
  <c r="AR36" i="47"/>
  <c r="L7" i="36"/>
  <c r="AB18" i="47"/>
  <c r="L29" i="49"/>
  <c r="AR40" i="47"/>
  <c r="N8" i="22"/>
  <c r="P8" i="22"/>
  <c r="S12" i="34"/>
  <c r="T12" i="34"/>
  <c r="R12" i="34"/>
  <c r="Q12" i="34" s="1"/>
  <c r="B8" i="34"/>
  <c r="S13" i="34"/>
  <c r="R13" i="34"/>
  <c r="T13" i="34"/>
  <c r="Q13" i="34" s="1"/>
  <c r="H13" i="34"/>
  <c r="J13" i="34"/>
  <c r="I13" i="34"/>
  <c r="G13" i="34" s="1"/>
  <c r="F8" i="34"/>
  <c r="L8" i="49"/>
  <c r="AR19" i="47"/>
  <c r="O8" i="22"/>
  <c r="M8" i="22" s="1"/>
  <c r="P10" i="21" s="1"/>
  <c r="T10" i="21" s="1"/>
  <c r="L12" i="49"/>
  <c r="AR23" i="47"/>
  <c r="F12" i="34"/>
  <c r="F12" i="22"/>
  <c r="L12" i="36"/>
  <c r="AB23" i="47"/>
  <c r="L18" i="49"/>
  <c r="AR29" i="47"/>
  <c r="F18" i="34"/>
  <c r="I18" i="34"/>
  <c r="S9" i="34"/>
  <c r="R9" i="34"/>
  <c r="T9" i="34"/>
  <c r="F13" i="22"/>
  <c r="L13" i="36"/>
  <c r="AB24" i="47"/>
  <c r="L26" i="36"/>
  <c r="AB37" i="47"/>
  <c r="F26" i="22"/>
  <c r="F17" i="34"/>
  <c r="F9" i="22"/>
  <c r="L9" i="36"/>
  <c r="AB20" i="47"/>
  <c r="F8" i="22"/>
  <c r="L8" i="36"/>
  <c r="AB19" i="47"/>
  <c r="F18" i="22"/>
  <c r="J18" i="22"/>
  <c r="I37" i="37"/>
  <c r="F28" i="22"/>
  <c r="I28" i="22"/>
  <c r="L26" i="49"/>
  <c r="AR37" i="47"/>
  <c r="F26" i="34"/>
  <c r="F11" i="22"/>
  <c r="L11" i="36"/>
  <c r="AB22" i="47"/>
  <c r="L37" i="36"/>
  <c r="AB48" i="47"/>
  <c r="F37" i="22"/>
  <c r="L31" i="49"/>
  <c r="AR42" i="47"/>
  <c r="F21" i="34"/>
  <c r="H21" i="34"/>
  <c r="F38" i="22"/>
  <c r="L38" i="36"/>
  <c r="AB49" i="47"/>
  <c r="J9" i="22"/>
  <c r="I9" i="22"/>
  <c r="H9" i="22"/>
  <c r="G9" i="22"/>
  <c r="I13" i="22"/>
  <c r="H13" i="22"/>
  <c r="J13" i="22"/>
  <c r="J8" i="22"/>
  <c r="I8" i="22"/>
  <c r="H8" i="22"/>
  <c r="G8" i="22"/>
  <c r="I12" i="22"/>
  <c r="H12" i="22"/>
  <c r="J12" i="34"/>
  <c r="I12" i="34"/>
  <c r="H12" i="34"/>
  <c r="G12" i="34"/>
  <c r="T8" i="34"/>
  <c r="H8" i="34"/>
  <c r="R8" i="34"/>
  <c r="J8" i="34"/>
  <c r="S8" i="34"/>
  <c r="Q8" i="34" s="1"/>
  <c r="I8" i="34"/>
  <c r="G8" i="34" s="1"/>
  <c r="M13" i="36"/>
  <c r="H11" i="21"/>
  <c r="M9" i="36"/>
  <c r="AL20" i="47"/>
  <c r="M8" i="36"/>
  <c r="H10" i="21"/>
  <c r="L11" i="21"/>
  <c r="L10" i="21"/>
  <c r="E40" i="38"/>
  <c r="CC56" i="47"/>
  <c r="K35" i="38"/>
  <c r="I35" i="38"/>
  <c r="E35" i="38"/>
  <c r="BG55" i="47" s="1"/>
  <c r="F36" i="34"/>
  <c r="J40" i="49"/>
  <c r="O3" i="49"/>
  <c r="G2" i="49"/>
  <c r="F19" i="22"/>
  <c r="L19" i="49"/>
  <c r="AR30" i="47"/>
  <c r="F19" i="34"/>
  <c r="I33" i="22"/>
  <c r="O33" i="22"/>
  <c r="J33" i="22"/>
  <c r="H33" i="22"/>
  <c r="K23" i="36"/>
  <c r="L23" i="36" s="1"/>
  <c r="L23" i="22"/>
  <c r="B23" i="34"/>
  <c r="B23" i="22"/>
  <c r="N23" i="22"/>
  <c r="B25" i="21"/>
  <c r="J34" i="36"/>
  <c r="B34" i="37"/>
  <c r="B36" i="21"/>
  <c r="J25" i="36"/>
  <c r="F25" i="22"/>
  <c r="I25" i="22"/>
  <c r="K25" i="36"/>
  <c r="L25" i="22"/>
  <c r="K20" i="36"/>
  <c r="L20" i="22"/>
  <c r="B19" i="34"/>
  <c r="I19" i="34"/>
  <c r="B19" i="22"/>
  <c r="F25" i="37"/>
  <c r="B30" i="37"/>
  <c r="B30" i="34"/>
  <c r="B20" i="22"/>
  <c r="N20" i="22"/>
  <c r="I19" i="22"/>
  <c r="H19" i="22"/>
  <c r="L25" i="36"/>
  <c r="AB36" i="47"/>
  <c r="L34" i="36"/>
  <c r="AB45" i="47"/>
  <c r="F34" i="22"/>
  <c r="O12" i="22"/>
  <c r="N12" i="22"/>
  <c r="P12" i="22"/>
  <c r="M12" i="22" s="1"/>
  <c r="P14" i="21" s="1"/>
  <c r="T14" i="21" s="1"/>
  <c r="J12" i="22"/>
  <c r="G12" i="22" s="1"/>
  <c r="F40" i="34"/>
  <c r="K40" i="49"/>
  <c r="L40" i="49" s="1"/>
  <c r="P40" i="34"/>
  <c r="H7" i="22"/>
  <c r="I7" i="22"/>
  <c r="J7" i="22"/>
  <c r="O7" i="22"/>
  <c r="M7" i="22"/>
  <c r="P9" i="21"/>
  <c r="T9" i="21"/>
  <c r="T7" i="34"/>
  <c r="R7" i="34"/>
  <c r="S7" i="34"/>
  <c r="F7" i="34"/>
  <c r="M12" i="36"/>
  <c r="H14" i="21"/>
  <c r="L14" i="21"/>
  <c r="Q7" i="34"/>
  <c r="G7" i="22"/>
  <c r="H9" i="21"/>
  <c r="L9" i="21"/>
  <c r="I7" i="34"/>
  <c r="J7" i="34"/>
  <c r="H7" i="34"/>
  <c r="G7" i="34"/>
  <c r="M7" i="36"/>
  <c r="X6" i="38"/>
  <c r="F28" i="37"/>
  <c r="J28" i="37"/>
  <c r="F16" i="37"/>
  <c r="F26" i="37"/>
  <c r="I26" i="37"/>
  <c r="F19" i="37"/>
  <c r="J19" i="37"/>
  <c r="F11" i="37"/>
  <c r="F33" i="37"/>
  <c r="I33" i="37"/>
  <c r="F30" i="37"/>
  <c r="J30" i="37"/>
  <c r="F33" i="22"/>
  <c r="G33" i="22"/>
  <c r="M33" i="36"/>
  <c r="AL44" i="47"/>
  <c r="L33" i="36"/>
  <c r="AB44" i="47"/>
  <c r="F14" i="34"/>
  <c r="H14" i="34"/>
  <c r="I38" i="22"/>
  <c r="B35" i="34"/>
  <c r="R35" i="34"/>
  <c r="Q35" i="34"/>
  <c r="B32" i="22"/>
  <c r="P32" i="22"/>
  <c r="B17" i="37"/>
  <c r="B22" i="34"/>
  <c r="T22" i="34"/>
  <c r="H38" i="22"/>
  <c r="G38" i="22"/>
  <c r="L16" i="49"/>
  <c r="AR27" i="47"/>
  <c r="J32" i="36"/>
  <c r="L32" i="36"/>
  <c r="AB43" i="47"/>
  <c r="B37" i="21"/>
  <c r="B32" i="37"/>
  <c r="J32" i="37"/>
  <c r="B22" i="37"/>
  <c r="B22" i="22"/>
  <c r="J22" i="36"/>
  <c r="L22" i="36"/>
  <c r="AB33" i="47"/>
  <c r="J36" i="36"/>
  <c r="F36" i="22"/>
  <c r="J35" i="36"/>
  <c r="B29" i="21"/>
  <c r="H19" i="34"/>
  <c r="B36" i="22"/>
  <c r="J36" i="22"/>
  <c r="L20" i="36"/>
  <c r="AB31" i="47"/>
  <c r="H37" i="37"/>
  <c r="B16" i="34"/>
  <c r="H16" i="34"/>
  <c r="B35" i="22"/>
  <c r="I35" i="22"/>
  <c r="B38" i="21"/>
  <c r="B24" i="21"/>
  <c r="P24" i="21"/>
  <c r="T24" i="21"/>
  <c r="B27" i="37"/>
  <c r="O20" i="22"/>
  <c r="B36" i="34"/>
  <c r="L34" i="49"/>
  <c r="AR45" i="47"/>
  <c r="H26" i="34"/>
  <c r="B16" i="37"/>
  <c r="B34" i="21"/>
  <c r="K28" i="49"/>
  <c r="P28" i="34"/>
  <c r="S28" i="34"/>
  <c r="K15" i="36"/>
  <c r="L15" i="22"/>
  <c r="B36" i="37"/>
  <c r="I36" i="37"/>
  <c r="B35" i="37"/>
  <c r="I35" i="37"/>
  <c r="I11" i="22"/>
  <c r="B11" i="37"/>
  <c r="H33" i="37"/>
  <c r="H30" i="37"/>
  <c r="I29" i="37"/>
  <c r="I28" i="37"/>
  <c r="I25" i="37"/>
  <c r="H18" i="37"/>
  <c r="J11" i="37"/>
  <c r="I10" i="37"/>
  <c r="H40" i="21"/>
  <c r="L40" i="21"/>
  <c r="M38" i="36"/>
  <c r="O38" i="22"/>
  <c r="M38" i="22"/>
  <c r="P40" i="21"/>
  <c r="N38" i="22"/>
  <c r="P38" i="22"/>
  <c r="S38" i="34"/>
  <c r="T38" i="34"/>
  <c r="R38" i="34"/>
  <c r="Q38" i="34"/>
  <c r="J38" i="37"/>
  <c r="I38" i="37"/>
  <c r="H38" i="37"/>
  <c r="F38" i="34"/>
  <c r="L38" i="49"/>
  <c r="AR49" i="47"/>
  <c r="R37" i="34"/>
  <c r="Q37" i="34"/>
  <c r="N37" i="22"/>
  <c r="M37" i="22"/>
  <c r="P39" i="21"/>
  <c r="P37" i="22"/>
  <c r="O37" i="22"/>
  <c r="H37" i="34"/>
  <c r="G37" i="34"/>
  <c r="M37" i="49"/>
  <c r="S37" i="34"/>
  <c r="I37" i="22"/>
  <c r="G37" i="22"/>
  <c r="J37" i="22"/>
  <c r="P37" i="42"/>
  <c r="L37" i="34" s="1"/>
  <c r="N37" i="34" s="1"/>
  <c r="T37" i="34"/>
  <c r="J37" i="34"/>
  <c r="G36" i="34"/>
  <c r="M36" i="49"/>
  <c r="O36" i="22"/>
  <c r="R36" i="34"/>
  <c r="Q36" i="34"/>
  <c r="H36" i="34"/>
  <c r="L36" i="36"/>
  <c r="AB47" i="47"/>
  <c r="N36" i="22"/>
  <c r="M36" i="22"/>
  <c r="P38" i="21"/>
  <c r="L35" i="49"/>
  <c r="AR46" i="47"/>
  <c r="F35" i="34"/>
  <c r="O35" i="22"/>
  <c r="P35" i="22"/>
  <c r="N35" i="22"/>
  <c r="M35" i="22"/>
  <c r="P37" i="21"/>
  <c r="J35" i="37"/>
  <c r="H35" i="37"/>
  <c r="J35" i="22"/>
  <c r="S34" i="34"/>
  <c r="R34" i="34"/>
  <c r="Q34" i="34"/>
  <c r="T34" i="34"/>
  <c r="J34" i="37"/>
  <c r="I34" i="37"/>
  <c r="G34" i="37"/>
  <c r="H34" i="37"/>
  <c r="J34" i="34"/>
  <c r="I34" i="34"/>
  <c r="G34" i="34"/>
  <c r="M34" i="49"/>
  <c r="H34" i="34"/>
  <c r="N34" i="22"/>
  <c r="M34" i="22"/>
  <c r="P36" i="21"/>
  <c r="O34" i="22"/>
  <c r="I34" i="22"/>
  <c r="H34" i="22"/>
  <c r="G34" i="22"/>
  <c r="P34" i="22"/>
  <c r="J34" i="22"/>
  <c r="X32" i="38"/>
  <c r="S33" i="34"/>
  <c r="T33" i="34"/>
  <c r="R33" i="34"/>
  <c r="Q33" i="34"/>
  <c r="I33" i="34"/>
  <c r="G33" i="34"/>
  <c r="M33" i="49"/>
  <c r="H33" i="34"/>
  <c r="J33" i="34"/>
  <c r="J33" i="37"/>
  <c r="L33" i="49"/>
  <c r="AR44" i="47"/>
  <c r="H35" i="21"/>
  <c r="M33" i="22"/>
  <c r="P35" i="21"/>
  <c r="N33" i="22"/>
  <c r="N32" i="22"/>
  <c r="M32" i="22"/>
  <c r="P34" i="21"/>
  <c r="O32" i="22"/>
  <c r="F32" i="34"/>
  <c r="L32" i="49"/>
  <c r="AR43" i="47"/>
  <c r="F32" i="22"/>
  <c r="B32" i="34"/>
  <c r="H31" i="37"/>
  <c r="J31" i="37"/>
  <c r="I31" i="37"/>
  <c r="R31" i="34"/>
  <c r="Q31" i="34"/>
  <c r="S31" i="34"/>
  <c r="T31" i="34"/>
  <c r="O31" i="22"/>
  <c r="M31" i="22"/>
  <c r="P33" i="21"/>
  <c r="N31" i="22"/>
  <c r="P31" i="22"/>
  <c r="H31" i="34"/>
  <c r="I31" i="34"/>
  <c r="J31" i="34"/>
  <c r="G31" i="34"/>
  <c r="M31" i="49"/>
  <c r="F31" i="22"/>
  <c r="H30" i="34"/>
  <c r="N30" i="22"/>
  <c r="M30" i="22"/>
  <c r="P32" i="21"/>
  <c r="O30" i="22"/>
  <c r="P30" i="22"/>
  <c r="F30" i="22"/>
  <c r="L30" i="36"/>
  <c r="AB41" i="47"/>
  <c r="T30" i="34"/>
  <c r="S30" i="34"/>
  <c r="I30" i="37"/>
  <c r="G30" i="37"/>
  <c r="P30" i="42"/>
  <c r="L30" i="34" s="1"/>
  <c r="N30" i="34" s="1"/>
  <c r="F30" i="34"/>
  <c r="R30" i="34"/>
  <c r="Q30" i="34"/>
  <c r="P29" i="22"/>
  <c r="O29" i="22"/>
  <c r="M29" i="22"/>
  <c r="P31" i="21"/>
  <c r="T31" i="21"/>
  <c r="N29" i="22"/>
  <c r="H29" i="34"/>
  <c r="G29" i="34"/>
  <c r="M29" i="49"/>
  <c r="J29" i="34"/>
  <c r="I29" i="34"/>
  <c r="R29" i="34"/>
  <c r="Q29" i="34"/>
  <c r="S29" i="34"/>
  <c r="J29" i="37"/>
  <c r="H29" i="37"/>
  <c r="T29" i="34"/>
  <c r="J29" i="36"/>
  <c r="F28" i="34"/>
  <c r="L28" i="49"/>
  <c r="AR39" i="47"/>
  <c r="N28" i="22"/>
  <c r="M28" i="22"/>
  <c r="P30" i="21"/>
  <c r="O28" i="22"/>
  <c r="P28" i="22"/>
  <c r="Q28" i="34"/>
  <c r="J28" i="22"/>
  <c r="H28" i="22"/>
  <c r="G28" i="22"/>
  <c r="R28" i="34"/>
  <c r="H28" i="37"/>
  <c r="G28" i="37"/>
  <c r="H27" i="22"/>
  <c r="R27" i="34"/>
  <c r="Q27" i="34"/>
  <c r="T27" i="34"/>
  <c r="S27" i="34"/>
  <c r="I27" i="34"/>
  <c r="G27" i="34"/>
  <c r="M27" i="49"/>
  <c r="H27" i="34"/>
  <c r="J27" i="34"/>
  <c r="J27" i="37"/>
  <c r="I27" i="37"/>
  <c r="H27" i="37"/>
  <c r="P27" i="22"/>
  <c r="O27" i="22"/>
  <c r="N27" i="22"/>
  <c r="M27" i="22"/>
  <c r="P29" i="21"/>
  <c r="F27" i="22"/>
  <c r="L27" i="49"/>
  <c r="AR38" i="47"/>
  <c r="T26" i="34"/>
  <c r="R26" i="34"/>
  <c r="Q26" i="34"/>
  <c r="S26" i="34"/>
  <c r="J26" i="34"/>
  <c r="I26" i="34"/>
  <c r="G26" i="34"/>
  <c r="M26" i="49"/>
  <c r="J26" i="37"/>
  <c r="B26" i="22"/>
  <c r="H26" i="37"/>
  <c r="G26" i="37"/>
  <c r="P25" i="22"/>
  <c r="O25" i="22"/>
  <c r="S25" i="34"/>
  <c r="R25" i="34"/>
  <c r="Q25" i="34"/>
  <c r="T25" i="34"/>
  <c r="N25" i="22"/>
  <c r="M25" i="22"/>
  <c r="P27" i="21"/>
  <c r="J25" i="37"/>
  <c r="I25" i="34"/>
  <c r="J25" i="22"/>
  <c r="H25" i="22"/>
  <c r="G25" i="22"/>
  <c r="G25" i="34"/>
  <c r="M25" i="49"/>
  <c r="H25" i="34"/>
  <c r="H25" i="37"/>
  <c r="P24" i="22"/>
  <c r="M24" i="22"/>
  <c r="P26" i="21"/>
  <c r="O24" i="22"/>
  <c r="N24" i="22"/>
  <c r="S24" i="34"/>
  <c r="F24" i="22"/>
  <c r="L24" i="36"/>
  <c r="AB35" i="47"/>
  <c r="F24" i="34"/>
  <c r="I24" i="34"/>
  <c r="J24" i="37"/>
  <c r="I24" i="37"/>
  <c r="K24" i="49"/>
  <c r="L24" i="49" s="1"/>
  <c r="P24" i="34"/>
  <c r="H23" i="22"/>
  <c r="G23" i="22"/>
  <c r="H23" i="37"/>
  <c r="I23" i="37"/>
  <c r="J23" i="37"/>
  <c r="T23" i="34"/>
  <c r="S23" i="34"/>
  <c r="Q23" i="34"/>
  <c r="R23" i="34"/>
  <c r="O23" i="22"/>
  <c r="M23" i="22"/>
  <c r="P25" i="21"/>
  <c r="J23" i="49"/>
  <c r="I23" i="22"/>
  <c r="J23" i="22"/>
  <c r="P23" i="22"/>
  <c r="J22" i="37"/>
  <c r="H22" i="37"/>
  <c r="I22" i="37"/>
  <c r="F22" i="34"/>
  <c r="I22" i="34"/>
  <c r="L22" i="49"/>
  <c r="AR33" i="47"/>
  <c r="S22" i="34"/>
  <c r="R22" i="34"/>
  <c r="Q22" i="34"/>
  <c r="J22" i="34"/>
  <c r="F22" i="22"/>
  <c r="H22" i="34"/>
  <c r="S21" i="34"/>
  <c r="R21" i="34"/>
  <c r="Q21" i="34"/>
  <c r="T21" i="34"/>
  <c r="M21" i="22"/>
  <c r="P23" i="21"/>
  <c r="J21" i="37"/>
  <c r="I21" i="37"/>
  <c r="H21" i="37"/>
  <c r="I21" i="22"/>
  <c r="F21" i="22"/>
  <c r="N21" i="22"/>
  <c r="I21" i="34"/>
  <c r="G21" i="34"/>
  <c r="M21" i="49"/>
  <c r="J21" i="34"/>
  <c r="H21" i="22"/>
  <c r="P21" i="22"/>
  <c r="O19" i="22"/>
  <c r="M19" i="22"/>
  <c r="P21" i="21"/>
  <c r="P20" i="22"/>
  <c r="M20" i="22"/>
  <c r="P22" i="21"/>
  <c r="S19" i="34"/>
  <c r="L20" i="49"/>
  <c r="AR31" i="47"/>
  <c r="R19" i="34"/>
  <c r="Q19" i="34"/>
  <c r="I20" i="22"/>
  <c r="P19" i="22"/>
  <c r="B20" i="34"/>
  <c r="H20" i="22"/>
  <c r="G20" i="22"/>
  <c r="N19" i="22"/>
  <c r="J20" i="22"/>
  <c r="J19" i="22"/>
  <c r="G19" i="22"/>
  <c r="J19" i="34"/>
  <c r="G19" i="34"/>
  <c r="M19" i="49"/>
  <c r="T19" i="34"/>
  <c r="I19" i="37"/>
  <c r="H19" i="37"/>
  <c r="S18" i="34"/>
  <c r="R18" i="34"/>
  <c r="Q18" i="34"/>
  <c r="J18" i="37"/>
  <c r="T18" i="34"/>
  <c r="J18" i="34"/>
  <c r="H18" i="22"/>
  <c r="N18" i="22"/>
  <c r="I18" i="22"/>
  <c r="I18" i="37"/>
  <c r="H18" i="34"/>
  <c r="G18" i="34"/>
  <c r="M18" i="49"/>
  <c r="P18" i="22"/>
  <c r="M18" i="22"/>
  <c r="P20" i="21"/>
  <c r="I17" i="22"/>
  <c r="G17" i="22"/>
  <c r="J17" i="22"/>
  <c r="H17" i="22"/>
  <c r="H17" i="37"/>
  <c r="G17" i="37"/>
  <c r="I17" i="37"/>
  <c r="J17" i="37"/>
  <c r="N17" i="22"/>
  <c r="M17" i="22"/>
  <c r="P19" i="21"/>
  <c r="O17" i="22"/>
  <c r="P17" i="22"/>
  <c r="B17" i="34"/>
  <c r="O16" i="22"/>
  <c r="N16" i="22"/>
  <c r="P16" i="22"/>
  <c r="M16" i="22"/>
  <c r="P18" i="21"/>
  <c r="F16" i="22"/>
  <c r="L16" i="36"/>
  <c r="AB27" i="47"/>
  <c r="H16" i="22"/>
  <c r="S16" i="34"/>
  <c r="Q16" i="34"/>
  <c r="J16" i="22"/>
  <c r="I16" i="34"/>
  <c r="G16" i="34"/>
  <c r="M16" i="49"/>
  <c r="T16" i="34"/>
  <c r="J16" i="34"/>
  <c r="I16" i="37"/>
  <c r="H16" i="37"/>
  <c r="J16" i="37"/>
  <c r="I15" i="22"/>
  <c r="P15" i="22"/>
  <c r="N15" i="22"/>
  <c r="M15" i="22"/>
  <c r="P17" i="21"/>
  <c r="O15" i="22"/>
  <c r="I15" i="34"/>
  <c r="J15" i="34"/>
  <c r="H15" i="34"/>
  <c r="G15" i="34"/>
  <c r="M15" i="49"/>
  <c r="S15" i="34"/>
  <c r="Q15" i="34"/>
  <c r="T15" i="34"/>
  <c r="I15" i="37"/>
  <c r="J15" i="37"/>
  <c r="H15" i="37"/>
  <c r="F15" i="22"/>
  <c r="L15" i="36"/>
  <c r="AB26" i="47"/>
  <c r="L15" i="49"/>
  <c r="AR26" i="47"/>
  <c r="J14" i="22"/>
  <c r="I14" i="22"/>
  <c r="G14" i="22"/>
  <c r="H14" i="22"/>
  <c r="T14" i="34"/>
  <c r="O14" i="22"/>
  <c r="M14" i="22"/>
  <c r="P14" i="22"/>
  <c r="N14" i="22"/>
  <c r="L14" i="36"/>
  <c r="AB25" i="47"/>
  <c r="J14" i="34"/>
  <c r="S14" i="34"/>
  <c r="Q14" i="34"/>
  <c r="J14" i="37"/>
  <c r="G14" i="37"/>
  <c r="P14" i="42"/>
  <c r="R14" i="42" s="1"/>
  <c r="I14" i="34"/>
  <c r="G14" i="34"/>
  <c r="M14" i="49"/>
  <c r="P16" i="21"/>
  <c r="T16" i="21"/>
  <c r="S11" i="34"/>
  <c r="Q11" i="34"/>
  <c r="T11" i="34"/>
  <c r="R11" i="34"/>
  <c r="N11" i="22"/>
  <c r="O11" i="22"/>
  <c r="P11" i="22"/>
  <c r="M11" i="22"/>
  <c r="P13" i="21"/>
  <c r="G11" i="22"/>
  <c r="H11" i="22"/>
  <c r="J11" i="49"/>
  <c r="I11" i="37"/>
  <c r="H11" i="37"/>
  <c r="O10" i="22"/>
  <c r="P10" i="22"/>
  <c r="H10" i="37"/>
  <c r="S10" i="34"/>
  <c r="R10" i="34"/>
  <c r="Q10" i="34"/>
  <c r="F10" i="34"/>
  <c r="L10" i="49"/>
  <c r="AR21" i="47"/>
  <c r="N10" i="22"/>
  <c r="M10" i="22"/>
  <c r="P12" i="21"/>
  <c r="J10" i="37"/>
  <c r="J10" i="36"/>
  <c r="T10" i="34"/>
  <c r="P36" i="22"/>
  <c r="H36" i="37"/>
  <c r="H32" i="37"/>
  <c r="H36" i="22"/>
  <c r="G36" i="22"/>
  <c r="I32" i="37"/>
  <c r="T35" i="34"/>
  <c r="I36" i="22"/>
  <c r="L35" i="36"/>
  <c r="AB46" i="47"/>
  <c r="F35" i="22"/>
  <c r="H35" i="22"/>
  <c r="R16" i="34"/>
  <c r="S35" i="34"/>
  <c r="G35" i="22"/>
  <c r="I35" i="34"/>
  <c r="J36" i="37"/>
  <c r="O22" i="22"/>
  <c r="P22" i="22"/>
  <c r="N22" i="22"/>
  <c r="T36" i="34"/>
  <c r="J36" i="34"/>
  <c r="I36" i="34"/>
  <c r="S36" i="34"/>
  <c r="P38" i="42"/>
  <c r="R38" i="42" s="1"/>
  <c r="P36" i="42"/>
  <c r="R36" i="42" s="1"/>
  <c r="G33" i="37"/>
  <c r="P33" i="42"/>
  <c r="V33" i="34" s="1"/>
  <c r="X33" i="34" s="1"/>
  <c r="Q35" i="21"/>
  <c r="U35" i="21" s="1"/>
  <c r="G32" i="37"/>
  <c r="P32" i="42"/>
  <c r="L32" i="34" s="1"/>
  <c r="N32" i="34" s="1"/>
  <c r="G31" i="37"/>
  <c r="G27" i="37"/>
  <c r="P27" i="42"/>
  <c r="Q29" i="21"/>
  <c r="U29" i="21" s="1"/>
  <c r="G25" i="37"/>
  <c r="P25" i="42"/>
  <c r="V25" i="34" s="1"/>
  <c r="X25" i="34" s="1"/>
  <c r="Q27" i="21"/>
  <c r="U27" i="21" s="1"/>
  <c r="G24" i="37"/>
  <c r="P24" i="42"/>
  <c r="V24" i="34" s="1"/>
  <c r="X24" i="34" s="1"/>
  <c r="G22" i="37"/>
  <c r="G21" i="37"/>
  <c r="G19" i="37"/>
  <c r="G18" i="37"/>
  <c r="G16" i="37"/>
  <c r="G11" i="37"/>
  <c r="T40" i="21"/>
  <c r="H38" i="34"/>
  <c r="G38" i="34"/>
  <c r="M38" i="49"/>
  <c r="I38" i="34"/>
  <c r="J38" i="34"/>
  <c r="M37" i="36"/>
  <c r="X36" i="38"/>
  <c r="H39" i="21"/>
  <c r="T39" i="21"/>
  <c r="I39" i="21"/>
  <c r="M39" i="21"/>
  <c r="Q39" i="21"/>
  <c r="U39" i="21" s="1"/>
  <c r="M36" i="36"/>
  <c r="X35" i="38"/>
  <c r="H38" i="21"/>
  <c r="T38" i="21"/>
  <c r="T37" i="21"/>
  <c r="M35" i="36"/>
  <c r="X34" i="38"/>
  <c r="H37" i="21"/>
  <c r="P35" i="42"/>
  <c r="R35" i="42" s="1"/>
  <c r="G35" i="34"/>
  <c r="M35" i="49"/>
  <c r="J35" i="34"/>
  <c r="H35" i="34"/>
  <c r="T36" i="21"/>
  <c r="P34" i="42"/>
  <c r="M34" i="36"/>
  <c r="AL45" i="47"/>
  <c r="H36" i="21"/>
  <c r="L35" i="21"/>
  <c r="AW32" i="14"/>
  <c r="T35" i="21"/>
  <c r="T34" i="21"/>
  <c r="T32" i="34"/>
  <c r="I32" i="34"/>
  <c r="S32" i="34"/>
  <c r="H32" i="34"/>
  <c r="J32" i="34"/>
  <c r="R32" i="34"/>
  <c r="I32" i="22"/>
  <c r="J32" i="22"/>
  <c r="H32" i="22"/>
  <c r="G32" i="22"/>
  <c r="G32" i="34"/>
  <c r="M32" i="49"/>
  <c r="P31" i="42"/>
  <c r="R31" i="42" s="1"/>
  <c r="T33" i="21"/>
  <c r="I31" i="22"/>
  <c r="H31" i="22"/>
  <c r="G31" i="22"/>
  <c r="J31" i="22"/>
  <c r="T32" i="21"/>
  <c r="Q32" i="21"/>
  <c r="U32" i="21" s="1"/>
  <c r="I30" i="34"/>
  <c r="G30" i="34"/>
  <c r="M30" i="49"/>
  <c r="J30" i="34"/>
  <c r="J30" i="22"/>
  <c r="H30" i="22"/>
  <c r="G30" i="22"/>
  <c r="I30" i="22"/>
  <c r="L29" i="36"/>
  <c r="AB40" i="47"/>
  <c r="F29" i="22"/>
  <c r="H30" i="21"/>
  <c r="M28" i="36"/>
  <c r="AL39" i="47"/>
  <c r="T30" i="21"/>
  <c r="P28" i="42"/>
  <c r="L28" i="34" s="1"/>
  <c r="N28" i="34" s="1"/>
  <c r="J28" i="34"/>
  <c r="H28" i="34"/>
  <c r="G28" i="34"/>
  <c r="M28" i="49"/>
  <c r="I28" i="34"/>
  <c r="T29" i="21"/>
  <c r="I27" i="22"/>
  <c r="G27" i="22"/>
  <c r="J27" i="22"/>
  <c r="P26" i="42"/>
  <c r="R26" i="42" s="1"/>
  <c r="CF37" i="47" s="1"/>
  <c r="O26" i="22"/>
  <c r="I26" i="22"/>
  <c r="J26" i="22"/>
  <c r="P26" i="22"/>
  <c r="N26" i="22"/>
  <c r="M26" i="22"/>
  <c r="P28" i="21"/>
  <c r="H26" i="22"/>
  <c r="M25" i="36"/>
  <c r="H27" i="21"/>
  <c r="T27" i="21"/>
  <c r="R24" i="34"/>
  <c r="Q24" i="34"/>
  <c r="T24" i="34"/>
  <c r="I24" i="22"/>
  <c r="H24" i="22"/>
  <c r="J24" i="22"/>
  <c r="G24" i="22"/>
  <c r="T26" i="21"/>
  <c r="G24" i="34"/>
  <c r="M24" i="49"/>
  <c r="J24" i="34"/>
  <c r="H24" i="34"/>
  <c r="P23" i="42"/>
  <c r="R23" i="42" s="1"/>
  <c r="H25" i="21"/>
  <c r="M23" i="36"/>
  <c r="AL34" i="47"/>
  <c r="T25" i="21"/>
  <c r="F23" i="34"/>
  <c r="L23" i="49"/>
  <c r="AR34" i="47"/>
  <c r="G22" i="34"/>
  <c r="M22" i="49"/>
  <c r="I22" i="22"/>
  <c r="G22" i="22"/>
  <c r="H22" i="22"/>
  <c r="J22" i="22"/>
  <c r="G21" i="22"/>
  <c r="T23" i="21"/>
  <c r="J21" i="22"/>
  <c r="T22" i="21"/>
  <c r="T21" i="21"/>
  <c r="M19" i="36"/>
  <c r="H21" i="21"/>
  <c r="T20" i="34"/>
  <c r="J20" i="34"/>
  <c r="S20" i="34"/>
  <c r="I20" i="34"/>
  <c r="R20" i="34"/>
  <c r="H20" i="34"/>
  <c r="G20" i="34"/>
  <c r="M20" i="49"/>
  <c r="M20" i="36"/>
  <c r="H22" i="21"/>
  <c r="P18" i="42"/>
  <c r="R18" i="42" s="1"/>
  <c r="T20" i="21"/>
  <c r="G18" i="22"/>
  <c r="H19" i="21"/>
  <c r="M17" i="36"/>
  <c r="AL28" i="47"/>
  <c r="T19" i="21"/>
  <c r="P17" i="42"/>
  <c r="L17" i="34"/>
  <c r="N17" i="34" s="1"/>
  <c r="S17" i="34"/>
  <c r="I17" i="34"/>
  <c r="R17" i="34"/>
  <c r="J17" i="34"/>
  <c r="T17" i="34"/>
  <c r="H17" i="34"/>
  <c r="T18" i="21"/>
  <c r="P16" i="42"/>
  <c r="L16" i="34" s="1"/>
  <c r="N16" i="34" s="1"/>
  <c r="I16" i="22"/>
  <c r="G16" i="22"/>
  <c r="T17" i="21"/>
  <c r="G15" i="22"/>
  <c r="H15" i="22"/>
  <c r="J15" i="22"/>
  <c r="M14" i="36"/>
  <c r="AL25" i="47"/>
  <c r="H16" i="21"/>
  <c r="Q16" i="21"/>
  <c r="U16" i="21" s="1"/>
  <c r="S16" i="21"/>
  <c r="I16" i="21"/>
  <c r="M16" i="21" s="1"/>
  <c r="P11" i="42"/>
  <c r="V11" i="34" s="1"/>
  <c r="X11" i="34" s="1"/>
  <c r="R11" i="42"/>
  <c r="Y10" i="38" s="1"/>
  <c r="T13" i="21"/>
  <c r="F11" i="34"/>
  <c r="L11" i="49"/>
  <c r="AR22" i="47"/>
  <c r="H13" i="21"/>
  <c r="M11" i="36"/>
  <c r="X10" i="38"/>
  <c r="P10" i="42"/>
  <c r="V10" i="34" s="1"/>
  <c r="X10" i="34" s="1"/>
  <c r="T12" i="21"/>
  <c r="H10" i="34"/>
  <c r="G10" i="34"/>
  <c r="M10" i="49"/>
  <c r="J10" i="34"/>
  <c r="I10" i="34"/>
  <c r="F10" i="22"/>
  <c r="L10" i="36"/>
  <c r="AB21" i="47"/>
  <c r="O35" i="21"/>
  <c r="I35" i="21"/>
  <c r="M35" i="21" s="1"/>
  <c r="K35" i="21"/>
  <c r="S35" i="21"/>
  <c r="P29" i="42"/>
  <c r="R29" i="42" s="1"/>
  <c r="I29" i="21"/>
  <c r="M29" i="21" s="1"/>
  <c r="O29" i="21"/>
  <c r="S29" i="21"/>
  <c r="I27" i="21"/>
  <c r="M27" i="21" s="1"/>
  <c r="S27" i="21"/>
  <c r="P22" i="42"/>
  <c r="V22" i="34" s="1"/>
  <c r="X22" i="34" s="1"/>
  <c r="P21" i="42"/>
  <c r="R21" i="42" s="1"/>
  <c r="Q23" i="21"/>
  <c r="U23" i="21" s="1"/>
  <c r="P19" i="42"/>
  <c r="V19" i="34" s="1"/>
  <c r="X19" i="34" s="1"/>
  <c r="P15" i="42"/>
  <c r="R15" i="42" s="1"/>
  <c r="Q17" i="21"/>
  <c r="U17" i="21" s="1"/>
  <c r="Q40" i="21"/>
  <c r="U40" i="21" s="1"/>
  <c r="I40" i="21"/>
  <c r="M40" i="21" s="1"/>
  <c r="S39" i="21"/>
  <c r="O39" i="21"/>
  <c r="L39" i="21"/>
  <c r="K39" i="21"/>
  <c r="G39" i="21"/>
  <c r="L38" i="21"/>
  <c r="Q38" i="21"/>
  <c r="U38" i="21" s="1"/>
  <c r="I38" i="21"/>
  <c r="M38" i="21" s="1"/>
  <c r="I37" i="21"/>
  <c r="M37" i="21" s="1"/>
  <c r="Q37" i="21"/>
  <c r="U37" i="21" s="1"/>
  <c r="L37" i="21"/>
  <c r="AL46" i="47"/>
  <c r="Q36" i="21"/>
  <c r="U36" i="21" s="1"/>
  <c r="I36" i="21"/>
  <c r="M36" i="21" s="1"/>
  <c r="L36" i="21"/>
  <c r="H34" i="21"/>
  <c r="M32" i="36"/>
  <c r="AL43" i="47"/>
  <c r="I34" i="21"/>
  <c r="M34" i="21" s="1"/>
  <c r="Q32" i="34"/>
  <c r="M31" i="36"/>
  <c r="AL42" i="47"/>
  <c r="H33" i="21"/>
  <c r="I33" i="21"/>
  <c r="M33" i="21" s="1"/>
  <c r="Q33" i="21"/>
  <c r="U33" i="21" s="1"/>
  <c r="M30" i="36"/>
  <c r="AL41" i="47"/>
  <c r="H32" i="21"/>
  <c r="I32" i="21"/>
  <c r="M32" i="21" s="1"/>
  <c r="O32" i="21"/>
  <c r="S32" i="21"/>
  <c r="Q31" i="21"/>
  <c r="U31" i="21" s="1"/>
  <c r="J29" i="22"/>
  <c r="I29" i="22"/>
  <c r="H29" i="22"/>
  <c r="G29" i="22"/>
  <c r="L30" i="21"/>
  <c r="I30" i="21"/>
  <c r="M30" i="21" s="1"/>
  <c r="Q30" i="21"/>
  <c r="U30" i="21" s="1"/>
  <c r="M27" i="36"/>
  <c r="H29" i="21"/>
  <c r="G26" i="22"/>
  <c r="T28" i="21"/>
  <c r="Q28" i="21"/>
  <c r="U28" i="21" s="1"/>
  <c r="I28" i="21"/>
  <c r="M28" i="21" s="1"/>
  <c r="L27" i="21"/>
  <c r="K27" i="21"/>
  <c r="G27" i="21"/>
  <c r="X24" i="38"/>
  <c r="AL36" i="47"/>
  <c r="O27" i="21"/>
  <c r="M24" i="36"/>
  <c r="X23" i="38"/>
  <c r="H26" i="21"/>
  <c r="Q26" i="21"/>
  <c r="U26" i="21" s="1"/>
  <c r="I26" i="21"/>
  <c r="M26" i="21" s="1"/>
  <c r="L25" i="21"/>
  <c r="Q25" i="21"/>
  <c r="U25" i="21" s="1"/>
  <c r="J23" i="34"/>
  <c r="H23" i="34"/>
  <c r="G23" i="34"/>
  <c r="M23" i="49"/>
  <c r="I23" i="34"/>
  <c r="H24" i="21"/>
  <c r="M22" i="36"/>
  <c r="X21" i="38"/>
  <c r="I24" i="21"/>
  <c r="M24" i="21" s="1"/>
  <c r="Q24" i="21"/>
  <c r="U24" i="21" s="1"/>
  <c r="H23" i="21"/>
  <c r="M21" i="36"/>
  <c r="X20" i="38"/>
  <c r="I21" i="21"/>
  <c r="M21" i="21" s="1"/>
  <c r="Q21" i="21"/>
  <c r="U21" i="21" s="1"/>
  <c r="L22" i="21"/>
  <c r="L21" i="21"/>
  <c r="Q20" i="34"/>
  <c r="I20" i="21"/>
  <c r="M20" i="21" s="1"/>
  <c r="Q20" i="21"/>
  <c r="U20" i="21" s="1"/>
  <c r="M18" i="36"/>
  <c r="X17" i="38"/>
  <c r="R18" i="36"/>
  <c r="H20" i="21"/>
  <c r="X16" i="38"/>
  <c r="W16" i="38"/>
  <c r="Q19" i="21"/>
  <c r="U19" i="21" s="1"/>
  <c r="G17" i="34"/>
  <c r="M17" i="49"/>
  <c r="Q17" i="34"/>
  <c r="L19" i="21"/>
  <c r="H18" i="21"/>
  <c r="M16" i="36"/>
  <c r="AL27" i="47"/>
  <c r="Q18" i="21"/>
  <c r="U18" i="21" s="1"/>
  <c r="I18" i="21"/>
  <c r="M18" i="21" s="1"/>
  <c r="M15" i="36"/>
  <c r="X14" i="38"/>
  <c r="AW14" i="14"/>
  <c r="H17" i="21"/>
  <c r="L16" i="21"/>
  <c r="K16" i="21"/>
  <c r="G16" i="21"/>
  <c r="O16" i="21"/>
  <c r="Q13" i="21"/>
  <c r="U13" i="21" s="1"/>
  <c r="L13" i="21"/>
  <c r="J11" i="34"/>
  <c r="H11" i="34"/>
  <c r="G11" i="34"/>
  <c r="M11" i="49"/>
  <c r="I11" i="34"/>
  <c r="J10" i="22"/>
  <c r="G10" i="22"/>
  <c r="H10" i="22"/>
  <c r="I10" i="22"/>
  <c r="Q12" i="21"/>
  <c r="U12" i="21" s="1"/>
  <c r="I12" i="21"/>
  <c r="M12" i="21" s="1"/>
  <c r="I31" i="21"/>
  <c r="M31" i="21" s="1"/>
  <c r="G38" i="21"/>
  <c r="G35" i="21"/>
  <c r="K30" i="21"/>
  <c r="G30" i="21"/>
  <c r="S28" i="21"/>
  <c r="I23" i="21"/>
  <c r="M23" i="21" s="1"/>
  <c r="I17" i="21"/>
  <c r="M17" i="21" s="1"/>
  <c r="K40" i="21"/>
  <c r="G40" i="21"/>
  <c r="S40" i="21"/>
  <c r="O40" i="21"/>
  <c r="S38" i="21"/>
  <c r="O38" i="21"/>
  <c r="K38" i="21"/>
  <c r="G37" i="21"/>
  <c r="K37" i="21"/>
  <c r="S37" i="21"/>
  <c r="O37" i="21"/>
  <c r="S36" i="21"/>
  <c r="O36" i="21"/>
  <c r="G36" i="21"/>
  <c r="K36" i="21"/>
  <c r="G34" i="21"/>
  <c r="L34" i="21"/>
  <c r="K34" i="21"/>
  <c r="Q34" i="21"/>
  <c r="U34" i="21" s="1"/>
  <c r="L33" i="21"/>
  <c r="K33" i="21"/>
  <c r="G33" i="21"/>
  <c r="X30" i="38"/>
  <c r="S33" i="21"/>
  <c r="O33" i="21"/>
  <c r="L32" i="21"/>
  <c r="K32" i="21"/>
  <c r="G32" i="21"/>
  <c r="X29" i="38"/>
  <c r="AW29" i="14"/>
  <c r="M29" i="36"/>
  <c r="H31" i="21"/>
  <c r="S31" i="21"/>
  <c r="O31" i="21"/>
  <c r="S30" i="21"/>
  <c r="O30" i="21"/>
  <c r="L29" i="21"/>
  <c r="K29" i="21"/>
  <c r="G29" i="21"/>
  <c r="M26" i="36"/>
  <c r="X25" i="38"/>
  <c r="V26" i="49"/>
  <c r="H28" i="21"/>
  <c r="O28" i="21"/>
  <c r="AW24" i="14"/>
  <c r="R25" i="36"/>
  <c r="W24" i="38"/>
  <c r="W25" i="42"/>
  <c r="V25" i="49"/>
  <c r="G26" i="21"/>
  <c r="L26" i="21"/>
  <c r="K26" i="21"/>
  <c r="AL35" i="47"/>
  <c r="S26" i="21"/>
  <c r="O26" i="21"/>
  <c r="S25" i="21"/>
  <c r="O25" i="21"/>
  <c r="I25" i="21"/>
  <c r="M25" i="21" s="1"/>
  <c r="AL33" i="47"/>
  <c r="S24" i="21"/>
  <c r="O24" i="21"/>
  <c r="L24" i="21"/>
  <c r="K24" i="21"/>
  <c r="G24" i="21"/>
  <c r="S23" i="21"/>
  <c r="O23" i="21"/>
  <c r="AL32" i="47"/>
  <c r="L23" i="21"/>
  <c r="K23" i="21"/>
  <c r="G23" i="21"/>
  <c r="Q22" i="21"/>
  <c r="U22" i="21" s="1"/>
  <c r="I22" i="21"/>
  <c r="M22" i="21" s="1"/>
  <c r="K21" i="21"/>
  <c r="G21" i="21"/>
  <c r="S21" i="21"/>
  <c r="O21" i="21"/>
  <c r="L20" i="21"/>
  <c r="K20" i="21"/>
  <c r="G20" i="21"/>
  <c r="S20" i="21"/>
  <c r="O20" i="21"/>
  <c r="S19" i="21"/>
  <c r="O19" i="21"/>
  <c r="I19" i="21"/>
  <c r="M19" i="21" s="1"/>
  <c r="X15" i="38"/>
  <c r="V16" i="49"/>
  <c r="G18" i="21"/>
  <c r="L18" i="21"/>
  <c r="K18" i="21"/>
  <c r="S18" i="21"/>
  <c r="O18" i="21"/>
  <c r="L17" i="21"/>
  <c r="K17" i="21"/>
  <c r="G17" i="21"/>
  <c r="AL26" i="47"/>
  <c r="S17" i="21"/>
  <c r="O17" i="21"/>
  <c r="I13" i="21"/>
  <c r="M13" i="21" s="1"/>
  <c r="S13" i="21"/>
  <c r="O13" i="21"/>
  <c r="H12" i="21"/>
  <c r="M10" i="36"/>
  <c r="AL21" i="47"/>
  <c r="S12" i="21"/>
  <c r="O12" i="21"/>
  <c r="S34" i="21"/>
  <c r="O34" i="21"/>
  <c r="W31" i="42"/>
  <c r="R31" i="36"/>
  <c r="L31" i="21"/>
  <c r="K31" i="21"/>
  <c r="G31" i="21"/>
  <c r="X28" i="38"/>
  <c r="V29" i="49"/>
  <c r="AL40" i="47"/>
  <c r="L28" i="21"/>
  <c r="K28" i="21"/>
  <c r="G28" i="21"/>
  <c r="V24" i="49"/>
  <c r="AW23" i="14"/>
  <c r="K25" i="21"/>
  <c r="G25" i="21"/>
  <c r="AW21" i="14"/>
  <c r="R22" i="36"/>
  <c r="W21" i="38"/>
  <c r="Q22" i="36" s="1"/>
  <c r="V21" i="49"/>
  <c r="R21" i="36"/>
  <c r="K22" i="21"/>
  <c r="G22" i="21"/>
  <c r="S22" i="21"/>
  <c r="O22" i="21"/>
  <c r="W18" i="42"/>
  <c r="K19" i="21"/>
  <c r="G19" i="21"/>
  <c r="K13" i="21"/>
  <c r="G13" i="21"/>
  <c r="X9" i="38"/>
  <c r="L12" i="21"/>
  <c r="K12" i="21"/>
  <c r="G12" i="21"/>
  <c r="W28" i="38"/>
  <c r="V29" i="42" s="1"/>
  <c r="H9" i="37"/>
  <c r="I9" i="37"/>
  <c r="J9" i="37"/>
  <c r="R17" i="42"/>
  <c r="CF28" i="47" s="1"/>
  <c r="V28" i="34"/>
  <c r="X28" i="34" s="1"/>
  <c r="L18" i="34"/>
  <c r="N18" i="34" s="1"/>
  <c r="V18" i="34"/>
  <c r="X18" i="34" s="1"/>
  <c r="R27" i="42"/>
  <c r="CF38" i="47" s="1"/>
  <c r="G31" i="54"/>
  <c r="H12" i="37"/>
  <c r="J12" i="37"/>
  <c r="I12" i="37"/>
  <c r="G12" i="37" s="1"/>
  <c r="J7" i="37"/>
  <c r="H7" i="37"/>
  <c r="I7" i="37"/>
  <c r="G7" i="37" s="1"/>
  <c r="L26" i="34"/>
  <c r="N26" i="34" s="1"/>
  <c r="V32" i="34"/>
  <c r="X32" i="34" s="1"/>
  <c r="V26" i="34"/>
  <c r="X26" i="34" s="1"/>
  <c r="R32" i="42"/>
  <c r="Y31" i="38" s="1"/>
  <c r="W30" i="42"/>
  <c r="W29" i="38"/>
  <c r="U30" i="49" s="1"/>
  <c r="AW30" i="14"/>
  <c r="V31" i="49"/>
  <c r="AL31" i="47"/>
  <c r="X19" i="38"/>
  <c r="R20" i="36"/>
  <c r="X18" i="38"/>
  <c r="AL30" i="47"/>
  <c r="X27" i="38"/>
  <c r="AW27" i="14"/>
  <c r="X7" i="38"/>
  <c r="AL19" i="47"/>
  <c r="R26" i="36"/>
  <c r="AL37" i="47"/>
  <c r="AW28" i="14"/>
  <c r="R29" i="36"/>
  <c r="V30" i="49"/>
  <c r="R30" i="36"/>
  <c r="W30" i="38"/>
  <c r="U31" i="49" s="1"/>
  <c r="X31" i="38"/>
  <c r="AW31" i="14"/>
  <c r="AW20" i="14"/>
  <c r="W20" i="38"/>
  <c r="W21" i="42"/>
  <c r="W22" i="42"/>
  <c r="V22" i="49"/>
  <c r="X22" i="38"/>
  <c r="W23" i="38"/>
  <c r="R24" i="36"/>
  <c r="W24" i="42"/>
  <c r="AL38" i="47"/>
  <c r="X26" i="38"/>
  <c r="W27" i="42"/>
  <c r="V33" i="49"/>
  <c r="W32" i="38"/>
  <c r="U33" i="49" s="1"/>
  <c r="V10" i="49"/>
  <c r="W9" i="38"/>
  <c r="V21" i="47" s="1"/>
  <c r="AW9" i="14"/>
  <c r="V18" i="49"/>
  <c r="AW17" i="14"/>
  <c r="W20" i="42"/>
  <c r="W27" i="38"/>
  <c r="W10" i="42"/>
  <c r="R10" i="36"/>
  <c r="W17" i="38"/>
  <c r="U18" i="49" s="1"/>
  <c r="W26" i="42"/>
  <c r="AW25" i="14"/>
  <c r="W25" i="38"/>
  <c r="AV25" i="14" s="1"/>
  <c r="AL29" i="47"/>
  <c r="X37" i="38"/>
  <c r="AL49" i="47"/>
  <c r="X11" i="38"/>
  <c r="AL23" i="47"/>
  <c r="W33" i="42"/>
  <c r="R33" i="36"/>
  <c r="AW7" i="14"/>
  <c r="X12" i="38"/>
  <c r="AL24" i="47"/>
  <c r="W8" i="42"/>
  <c r="V8" i="49"/>
  <c r="W18" i="38"/>
  <c r="AW18" i="14"/>
  <c r="V19" i="49"/>
  <c r="R19" i="36"/>
  <c r="W19" i="42"/>
  <c r="R8" i="36"/>
  <c r="W23" i="42"/>
  <c r="V23" i="49"/>
  <c r="W22" i="38"/>
  <c r="AV22" i="14" s="1"/>
  <c r="AW22" i="14"/>
  <c r="R23" i="36"/>
  <c r="AW12" i="14"/>
  <c r="R13" i="36"/>
  <c r="W13" i="42"/>
  <c r="V13" i="49"/>
  <c r="R12" i="36"/>
  <c r="W12" i="42"/>
  <c r="AW11" i="14"/>
  <c r="V12" i="49"/>
  <c r="R38" i="36"/>
  <c r="V38" i="49"/>
  <c r="AW37" i="14"/>
  <c r="W37" i="38"/>
  <c r="Q38" i="36" s="1"/>
  <c r="W38" i="42"/>
  <c r="L23" i="34"/>
  <c r="N23" i="34" s="1"/>
  <c r="L38" i="34"/>
  <c r="N38" i="34" s="1"/>
  <c r="L40" i="36"/>
  <c r="J40" i="36"/>
  <c r="F40" i="22"/>
  <c r="G13" i="9"/>
  <c r="G14" i="9"/>
  <c r="E13" i="9"/>
  <c r="E14" i="9"/>
  <c r="R11" i="36"/>
  <c r="W10" i="38"/>
  <c r="V22" i="47" s="1"/>
  <c r="AW10" i="14"/>
  <c r="V11" i="49"/>
  <c r="W11" i="42"/>
  <c r="W37" i="42"/>
  <c r="AW36" i="14"/>
  <c r="W36" i="38"/>
  <c r="V48" i="47" s="1"/>
  <c r="R37" i="36"/>
  <c r="V37" i="49"/>
  <c r="W36" i="42"/>
  <c r="W35" i="38"/>
  <c r="Q36" i="36" s="1"/>
  <c r="V36" i="49"/>
  <c r="R36" i="36"/>
  <c r="AW35" i="14"/>
  <c r="AW34" i="14"/>
  <c r="R35" i="36"/>
  <c r="W34" i="38"/>
  <c r="V35" i="42" s="1"/>
  <c r="W35" i="42"/>
  <c r="V35" i="49"/>
  <c r="V7" i="49"/>
  <c r="W7" i="42"/>
  <c r="R7" i="36"/>
  <c r="AW6" i="14"/>
  <c r="AW19" i="14"/>
  <c r="R28" i="36"/>
  <c r="W17" i="42"/>
  <c r="AW15" i="14"/>
  <c r="W29" i="42"/>
  <c r="X33" i="38"/>
  <c r="AL47" i="47"/>
  <c r="AL48" i="47"/>
  <c r="W32" i="42"/>
  <c r="R27" i="36"/>
  <c r="AW26" i="14"/>
  <c r="W28" i="42"/>
  <c r="V17" i="49"/>
  <c r="W15" i="38"/>
  <c r="W15" i="42"/>
  <c r="V27" i="49"/>
  <c r="W26" i="38"/>
  <c r="AV26" i="14" s="1"/>
  <c r="AW16" i="14"/>
  <c r="W14" i="38"/>
  <c r="V26" i="47" s="1"/>
  <c r="R16" i="36"/>
  <c r="W16" i="42"/>
  <c r="R17" i="36"/>
  <c r="W31" i="38"/>
  <c r="V32" i="42" s="1"/>
  <c r="V15" i="49"/>
  <c r="W19" i="38"/>
  <c r="V20" i="49"/>
  <c r="AL18" i="47"/>
  <c r="R32" i="36"/>
  <c r="X8" i="38"/>
  <c r="R15" i="36"/>
  <c r="X13" i="38"/>
  <c r="V32" i="49"/>
  <c r="AL22" i="47"/>
  <c r="V28" i="49"/>
  <c r="K5" i="38"/>
  <c r="AB51" i="47"/>
  <c r="C13" i="9"/>
  <c r="C14" i="9"/>
  <c r="AW8" i="14"/>
  <c r="V9" i="49"/>
  <c r="R9" i="36"/>
  <c r="W9" i="42"/>
  <c r="V34" i="49"/>
  <c r="AW33" i="14"/>
  <c r="R34" i="36"/>
  <c r="W34" i="42"/>
  <c r="W33" i="38"/>
  <c r="Q34" i="36" s="1"/>
  <c r="W14" i="42"/>
  <c r="W13" i="38"/>
  <c r="V25" i="47" s="1"/>
  <c r="BL25" i="47" s="1"/>
  <c r="R14" i="36"/>
  <c r="AW13" i="14"/>
  <c r="V14" i="49"/>
  <c r="L34" i="34"/>
  <c r="N34" i="34" s="1"/>
  <c r="V34" i="34"/>
  <c r="X34" i="34" s="1"/>
  <c r="R34" i="42"/>
  <c r="Y33" i="38" s="1"/>
  <c r="V38" i="34"/>
  <c r="X38" i="34" s="1"/>
  <c r="V27" i="34"/>
  <c r="X27" i="34" s="1"/>
  <c r="L27" i="34"/>
  <c r="N27" i="34" s="1"/>
  <c r="Y26" i="38"/>
  <c r="AX26" i="14" s="1"/>
  <c r="L33" i="34"/>
  <c r="N33" i="34" s="1"/>
  <c r="V16" i="34"/>
  <c r="X16" i="34" s="1"/>
  <c r="V17" i="34"/>
  <c r="X17" i="34" s="1"/>
  <c r="R33" i="42"/>
  <c r="CF44" i="47" s="1"/>
  <c r="L19" i="34"/>
  <c r="N19" i="34" s="1"/>
  <c r="R16" i="42"/>
  <c r="CF27" i="47" s="1"/>
  <c r="P20" i="42"/>
  <c r="R20" i="42" s="1"/>
  <c r="R19" i="42"/>
  <c r="Y18" i="38" s="1"/>
  <c r="Y15" i="38" l="1"/>
  <c r="S16" i="36" s="1"/>
  <c r="V44" i="47"/>
  <c r="BL44" i="47" s="1"/>
  <c r="AH51" i="14"/>
  <c r="AR35" i="47"/>
  <c r="AR51" i="47"/>
  <c r="AB34" i="47"/>
  <c r="AR24" i="47"/>
  <c r="AR20" i="47"/>
  <c r="AB32" i="47"/>
  <c r="AB30" i="47"/>
  <c r="EA21" i="47"/>
  <c r="Y14" i="38"/>
  <c r="AX14" i="14" s="1"/>
  <c r="V37" i="34"/>
  <c r="X37" i="34" s="1"/>
  <c r="V32" i="47"/>
  <c r="BQ32" i="47" s="1"/>
  <c r="CF43" i="47"/>
  <c r="R37" i="42"/>
  <c r="V35" i="34"/>
  <c r="X35" i="34" s="1"/>
  <c r="L35" i="34"/>
  <c r="N35" i="34" s="1"/>
  <c r="Q21" i="36"/>
  <c r="L15" i="34"/>
  <c r="N15" i="34" s="1"/>
  <c r="V30" i="34"/>
  <c r="X30" i="34" s="1"/>
  <c r="V14" i="34"/>
  <c r="X14" i="34" s="1"/>
  <c r="R30" i="42"/>
  <c r="L14" i="34"/>
  <c r="N14" i="34" s="1"/>
  <c r="V15" i="34"/>
  <c r="X15" i="34" s="1"/>
  <c r="V24" i="42"/>
  <c r="Y16" i="38"/>
  <c r="CF26" i="47"/>
  <c r="AV13" i="14"/>
  <c r="V23" i="34"/>
  <c r="X23" i="34" s="1"/>
  <c r="V14" i="42"/>
  <c r="V21" i="34"/>
  <c r="X21" i="34" s="1"/>
  <c r="R28" i="42"/>
  <c r="Y27" i="38" s="1"/>
  <c r="L31" i="34"/>
  <c r="N31" i="34" s="1"/>
  <c r="U14" i="49"/>
  <c r="AX18" i="14"/>
  <c r="S19" i="36"/>
  <c r="X19" i="42"/>
  <c r="W19" i="49"/>
  <c r="CF30" i="47"/>
  <c r="CF45" i="47"/>
  <c r="Y32" i="38"/>
  <c r="S33" i="36" s="1"/>
  <c r="CF42" i="47"/>
  <c r="Y30" i="38"/>
  <c r="X34" i="42"/>
  <c r="S34" i="36"/>
  <c r="W34" i="49"/>
  <c r="AX33" i="14"/>
  <c r="CF40" i="47"/>
  <c r="Y28" i="38"/>
  <c r="S15" i="36"/>
  <c r="X15" i="42"/>
  <c r="S32" i="36"/>
  <c r="X32" i="42"/>
  <c r="AX31" i="14"/>
  <c r="W32" i="49"/>
  <c r="R24" i="42"/>
  <c r="L21" i="34"/>
  <c r="N21" i="34" s="1"/>
  <c r="L11" i="34"/>
  <c r="N11" i="34" s="1"/>
  <c r="L22" i="34"/>
  <c r="N22" i="34" s="1"/>
  <c r="V29" i="34"/>
  <c r="X29" i="34" s="1"/>
  <c r="L24" i="34"/>
  <c r="N24" i="34" s="1"/>
  <c r="L36" i="34"/>
  <c r="N36" i="34" s="1"/>
  <c r="U22" i="49"/>
  <c r="Y29" i="38"/>
  <c r="S30" i="36" s="1"/>
  <c r="R22" i="42"/>
  <c r="R10" i="42"/>
  <c r="AX32" i="14"/>
  <c r="L29" i="34"/>
  <c r="N29" i="34" s="1"/>
  <c r="V36" i="34"/>
  <c r="X36" i="34" s="1"/>
  <c r="V20" i="34"/>
  <c r="X20" i="34" s="1"/>
  <c r="L20" i="34"/>
  <c r="N20" i="34" s="1"/>
  <c r="L10" i="34"/>
  <c r="N10" i="34" s="1"/>
  <c r="V31" i="34"/>
  <c r="X31" i="34" s="1"/>
  <c r="AV21" i="14"/>
  <c r="Q14" i="36"/>
  <c r="AV28" i="14"/>
  <c r="V22" i="42"/>
  <c r="Q29" i="36"/>
  <c r="V33" i="47"/>
  <c r="BL33" i="47" s="1"/>
  <c r="V40" i="47"/>
  <c r="CA40" i="47" s="1"/>
  <c r="U29" i="49"/>
  <c r="M7" i="49"/>
  <c r="M9" i="49"/>
  <c r="G5" i="11"/>
  <c r="E42" i="38"/>
  <c r="M12" i="49"/>
  <c r="M13" i="49"/>
  <c r="P7" i="42"/>
  <c r="M8" i="49"/>
  <c r="P12" i="42"/>
  <c r="X39" i="34"/>
  <c r="P9" i="42"/>
  <c r="N39" i="34"/>
  <c r="Y19" i="38"/>
  <c r="CF31" i="47"/>
  <c r="CF32" i="47"/>
  <c r="Y20" i="38"/>
  <c r="W11" i="49"/>
  <c r="S11" i="36"/>
  <c r="X11" i="42"/>
  <c r="AX10" i="14"/>
  <c r="Y35" i="38"/>
  <c r="CF47" i="47"/>
  <c r="CF49" i="47"/>
  <c r="Y37" i="38"/>
  <c r="CF46" i="47"/>
  <c r="Y34" i="38"/>
  <c r="Y13" i="38"/>
  <c r="CF25" i="47"/>
  <c r="CF34" i="47"/>
  <c r="Y22" i="38"/>
  <c r="CF29" i="47"/>
  <c r="Y17" i="38"/>
  <c r="S27" i="36"/>
  <c r="V33" i="42"/>
  <c r="CF22" i="47"/>
  <c r="Y25" i="38"/>
  <c r="L25" i="34"/>
  <c r="N25" i="34" s="1"/>
  <c r="R25" i="42"/>
  <c r="X27" i="42"/>
  <c r="W27" i="49"/>
  <c r="AG45" i="14"/>
  <c r="AH46" i="14" s="1"/>
  <c r="AH12" i="14"/>
  <c r="AJ22" i="14"/>
  <c r="AV10" i="14"/>
  <c r="Q11" i="36"/>
  <c r="AV20" i="14"/>
  <c r="V18" i="42"/>
  <c r="U21" i="49"/>
  <c r="V21" i="42"/>
  <c r="BV44" i="47"/>
  <c r="V30" i="42"/>
  <c r="BQ44" i="47"/>
  <c r="Q30" i="36"/>
  <c r="U27" i="49"/>
  <c r="V27" i="42"/>
  <c r="Q27" i="36"/>
  <c r="V41" i="47"/>
  <c r="BQ41" i="47" s="1"/>
  <c r="AV29" i="14"/>
  <c r="AV36" i="14"/>
  <c r="V38" i="47"/>
  <c r="BV38" i="47" s="1"/>
  <c r="U34" i="49"/>
  <c r="V19" i="42"/>
  <c r="AV37" i="14"/>
  <c r="U35" i="49"/>
  <c r="V30" i="47"/>
  <c r="BB30" i="47" s="1"/>
  <c r="V38" i="42"/>
  <c r="V49" i="47"/>
  <c r="BQ49" i="47" s="1"/>
  <c r="V37" i="42"/>
  <c r="V46" i="47"/>
  <c r="V11" i="42"/>
  <c r="U19" i="49"/>
  <c r="AV34" i="14"/>
  <c r="E12" i="9"/>
  <c r="F29" i="9" s="1"/>
  <c r="Q19" i="36"/>
  <c r="V23" i="42"/>
  <c r="Q23" i="36"/>
  <c r="Q35" i="36"/>
  <c r="V27" i="47"/>
  <c r="BH27" i="47" s="1"/>
  <c r="U38" i="49"/>
  <c r="AV18" i="14"/>
  <c r="V29" i="47"/>
  <c r="BH44" i="47"/>
  <c r="Q18" i="36"/>
  <c r="U16" i="49"/>
  <c r="V43" i="47"/>
  <c r="BL43" i="47" s="1"/>
  <c r="Q16" i="36"/>
  <c r="U37" i="49"/>
  <c r="AV17" i="14"/>
  <c r="U20" i="49"/>
  <c r="Q33" i="36"/>
  <c r="V34" i="47"/>
  <c r="BL34" i="47" s="1"/>
  <c r="U11" i="49"/>
  <c r="AV32" i="14"/>
  <c r="Q37" i="36"/>
  <c r="V34" i="42"/>
  <c r="V15" i="42"/>
  <c r="Q32" i="36"/>
  <c r="U32" i="49"/>
  <c r="U23" i="49"/>
  <c r="AV31" i="14"/>
  <c r="CA44" i="47"/>
  <c r="AV15" i="14"/>
  <c r="V31" i="42"/>
  <c r="U15" i="49"/>
  <c r="AV30" i="14"/>
  <c r="BV25" i="47"/>
  <c r="CA25" i="47"/>
  <c r="Q31" i="36"/>
  <c r="V45" i="47"/>
  <c r="BL45" i="47" s="1"/>
  <c r="U28" i="49"/>
  <c r="Q28" i="36"/>
  <c r="V28" i="42"/>
  <c r="AH33" i="14"/>
  <c r="AR33" i="14" s="1"/>
  <c r="V42" i="47"/>
  <c r="BH42" i="47" s="1"/>
  <c r="V39" i="47"/>
  <c r="AV33" i="14"/>
  <c r="AV27" i="14"/>
  <c r="Q26" i="36"/>
  <c r="AH20" i="14"/>
  <c r="AG24" i="14"/>
  <c r="AH26" i="14" s="1"/>
  <c r="BQ22" i="47"/>
  <c r="BH22" i="47"/>
  <c r="BB22" i="47"/>
  <c r="BV22" i="47"/>
  <c r="CA22" i="47"/>
  <c r="BL22" i="47"/>
  <c r="V31" i="47"/>
  <c r="Q25" i="36"/>
  <c r="AV24" i="14"/>
  <c r="AV14" i="14"/>
  <c r="V16" i="42"/>
  <c r="Q20" i="36"/>
  <c r="AV9" i="14"/>
  <c r="BQ25" i="47"/>
  <c r="AV19" i="14"/>
  <c r="U24" i="49"/>
  <c r="BB25" i="47"/>
  <c r="V20" i="42"/>
  <c r="V25" i="42"/>
  <c r="AV16" i="14"/>
  <c r="Q15" i="36"/>
  <c r="Q24" i="36"/>
  <c r="BH25" i="47"/>
  <c r="U25" i="49"/>
  <c r="AV23" i="14"/>
  <c r="V36" i="47"/>
  <c r="V37" i="47"/>
  <c r="BB37" i="47" s="1"/>
  <c r="U26" i="49"/>
  <c r="V35" i="47"/>
  <c r="AR51" i="14"/>
  <c r="AQ51" i="14"/>
  <c r="BV21" i="47"/>
  <c r="BB21" i="47"/>
  <c r="BQ21" i="47"/>
  <c r="BL21" i="47"/>
  <c r="BH21" i="47"/>
  <c r="CA21" i="47"/>
  <c r="BB26" i="47"/>
  <c r="CA26" i="47"/>
  <c r="BQ26" i="47"/>
  <c r="BV26" i="47"/>
  <c r="BL26" i="47"/>
  <c r="BH26" i="47"/>
  <c r="BB48" i="47"/>
  <c r="BQ48" i="47"/>
  <c r="BV48" i="47"/>
  <c r="CA48" i="47"/>
  <c r="BH48" i="47"/>
  <c r="BL48" i="47"/>
  <c r="AQ29" i="14"/>
  <c r="AR29" i="14"/>
  <c r="EK43" i="47"/>
  <c r="U36" i="49"/>
  <c r="U10" i="49"/>
  <c r="Q10" i="36"/>
  <c r="V36" i="42"/>
  <c r="C12" i="9"/>
  <c r="AV35" i="14"/>
  <c r="AH10" i="14"/>
  <c r="V47" i="47"/>
  <c r="U17" i="49"/>
  <c r="Q17" i="36"/>
  <c r="V17" i="42"/>
  <c r="V26" i="42"/>
  <c r="V10" i="42"/>
  <c r="V28" i="47"/>
  <c r="G12" i="9"/>
  <c r="AH43" i="14"/>
  <c r="AR43" i="14" s="1"/>
  <c r="AR35" i="14"/>
  <c r="AQ35" i="14"/>
  <c r="AG16" i="14"/>
  <c r="AP16" i="14" s="1"/>
  <c r="AG14" i="14"/>
  <c r="AP14" i="14" s="1"/>
  <c r="G9" i="37"/>
  <c r="G13" i="22"/>
  <c r="H15" i="21" s="1"/>
  <c r="Q9" i="34"/>
  <c r="I41" i="38"/>
  <c r="E41" i="38" s="1"/>
  <c r="CC57" i="47" s="1"/>
  <c r="I39" i="38"/>
  <c r="E39" i="38" s="1"/>
  <c r="CC55" i="47" s="1"/>
  <c r="I38" i="38"/>
  <c r="E38" i="38" s="1"/>
  <c r="CC54" i="47" s="1"/>
  <c r="I34" i="38"/>
  <c r="E31" i="54"/>
  <c r="C31" i="54" s="1"/>
  <c r="W15" i="49" l="1"/>
  <c r="AX15" i="14"/>
  <c r="X16" i="42"/>
  <c r="W16" i="49"/>
  <c r="BB44" i="47"/>
  <c r="W3" i="38"/>
  <c r="V4" i="42" s="1"/>
  <c r="BB40" i="47"/>
  <c r="BH33" i="47"/>
  <c r="BQ38" i="47"/>
  <c r="BL32" i="47"/>
  <c r="CA32" i="47"/>
  <c r="BB32" i="47"/>
  <c r="BV32" i="47"/>
  <c r="BH32" i="47"/>
  <c r="CF41" i="47"/>
  <c r="CF48" i="47"/>
  <c r="Y36" i="38"/>
  <c r="CA49" i="47"/>
  <c r="BL40" i="47"/>
  <c r="BQ40" i="47"/>
  <c r="BH40" i="47"/>
  <c r="X17" i="42"/>
  <c r="BL37" i="47"/>
  <c r="BQ33" i="47"/>
  <c r="W17" i="49"/>
  <c r="CF39" i="47"/>
  <c r="S17" i="36"/>
  <c r="CA33" i="47"/>
  <c r="AX16" i="14"/>
  <c r="BV40" i="47"/>
  <c r="BV33" i="47"/>
  <c r="W33" i="49"/>
  <c r="X33" i="42"/>
  <c r="AV3" i="14"/>
  <c r="U4" i="49"/>
  <c r="X30" i="42"/>
  <c r="Y23" i="38"/>
  <c r="CF35" i="47"/>
  <c r="AX29" i="14"/>
  <c r="W30" i="49"/>
  <c r="Y9" i="38"/>
  <c r="CF21" i="47"/>
  <c r="W31" i="49"/>
  <c r="S31" i="36"/>
  <c r="X31" i="42"/>
  <c r="AX30" i="14"/>
  <c r="G6" i="21"/>
  <c r="S6" i="21" s="1"/>
  <c r="Y21" i="38"/>
  <c r="CF33" i="47"/>
  <c r="X29" i="42"/>
  <c r="W29" i="49"/>
  <c r="S29" i="36"/>
  <c r="AX28" i="14"/>
  <c r="BB33" i="47"/>
  <c r="BL41" i="47"/>
  <c r="BB41" i="47"/>
  <c r="BH49" i="47"/>
  <c r="BQ37" i="47"/>
  <c r="S26" i="36"/>
  <c r="AX25" i="14"/>
  <c r="X26" i="42"/>
  <c r="W26" i="49"/>
  <c r="S21" i="36"/>
  <c r="AX20" i="14"/>
  <c r="W21" i="49"/>
  <c r="X21" i="42"/>
  <c r="BL49" i="47"/>
  <c r="S28" i="36"/>
  <c r="AX27" i="14"/>
  <c r="W28" i="49"/>
  <c r="X28" i="42"/>
  <c r="W23" i="49"/>
  <c r="S23" i="36"/>
  <c r="AX22" i="14"/>
  <c r="X23" i="42"/>
  <c r="L7" i="34"/>
  <c r="N7" i="34" s="1"/>
  <c r="I9" i="21" s="1"/>
  <c r="M9" i="21" s="1"/>
  <c r="V7" i="34"/>
  <c r="X7" i="34" s="1"/>
  <c r="Q9" i="21" s="1"/>
  <c r="U9" i="21" s="1"/>
  <c r="P8" i="42"/>
  <c r="R7" i="42"/>
  <c r="AX35" i="14"/>
  <c r="W36" i="49"/>
  <c r="X36" i="42"/>
  <c r="S36" i="36"/>
  <c r="W20" i="49"/>
  <c r="AX19" i="14"/>
  <c r="S20" i="36"/>
  <c r="X20" i="42"/>
  <c r="S14" i="36"/>
  <c r="X14" i="42"/>
  <c r="W14" i="49"/>
  <c r="AX13" i="14"/>
  <c r="BQ30" i="47"/>
  <c r="Q4" i="36"/>
  <c r="CC58" i="47"/>
  <c r="AX34" i="14"/>
  <c r="S35" i="36"/>
  <c r="W35" i="49"/>
  <c r="X35" i="42"/>
  <c r="V9" i="34"/>
  <c r="X9" i="34" s="1"/>
  <c r="Q11" i="21" s="1"/>
  <c r="U11" i="21" s="1"/>
  <c r="L9" i="34"/>
  <c r="N9" i="34" s="1"/>
  <c r="I11" i="21" s="1"/>
  <c r="M11" i="21" s="1"/>
  <c r="R9" i="42"/>
  <c r="CF36" i="47"/>
  <c r="Y24" i="38"/>
  <c r="AX17" i="14"/>
  <c r="W18" i="49"/>
  <c r="X18" i="42"/>
  <c r="S18" i="36"/>
  <c r="S38" i="36"/>
  <c r="X38" i="42"/>
  <c r="AX37" i="14"/>
  <c r="W38" i="49"/>
  <c r="P13" i="42"/>
  <c r="R12" i="42"/>
  <c r="V12" i="34"/>
  <c r="X12" i="34" s="1"/>
  <c r="Q14" i="21" s="1"/>
  <c r="U14" i="21" s="1"/>
  <c r="L12" i="34"/>
  <c r="N12" i="34" s="1"/>
  <c r="I14" i="21" s="1"/>
  <c r="M14" i="21" s="1"/>
  <c r="AQ46" i="14"/>
  <c r="EK54" i="47"/>
  <c r="AR46" i="14"/>
  <c r="BH41" i="47"/>
  <c r="BV49" i="47"/>
  <c r="G29" i="9"/>
  <c r="BV41" i="47"/>
  <c r="BB49" i="47"/>
  <c r="C29" i="9"/>
  <c r="CA41" i="47"/>
  <c r="BQ34" i="47"/>
  <c r="BV34" i="47"/>
  <c r="CA34" i="47"/>
  <c r="BH34" i="47"/>
  <c r="BB34" i="47"/>
  <c r="BL38" i="47"/>
  <c r="BH38" i="47"/>
  <c r="BB38" i="47"/>
  <c r="CA43" i="47"/>
  <c r="CA38" i="47"/>
  <c r="O6" i="21"/>
  <c r="K6" i="21"/>
  <c r="BV29" i="47"/>
  <c r="BQ29" i="47"/>
  <c r="BL29" i="47"/>
  <c r="BB29" i="47"/>
  <c r="BH29" i="47"/>
  <c r="CA29" i="47"/>
  <c r="CA46" i="47"/>
  <c r="BV46" i="47"/>
  <c r="BQ46" i="47"/>
  <c r="D29" i="9"/>
  <c r="C30" i="9" s="1"/>
  <c r="C31" i="9" s="1"/>
  <c r="AQ37" i="14" s="1"/>
  <c r="AQ38" i="14" s="1"/>
  <c r="E29" i="9"/>
  <c r="H29" i="9"/>
  <c r="BQ43" i="47"/>
  <c r="BH43" i="47"/>
  <c r="BV43" i="47"/>
  <c r="BB43" i="47"/>
  <c r="BB27" i="47"/>
  <c r="CA27" i="47"/>
  <c r="BV27" i="47"/>
  <c r="BL27" i="47"/>
  <c r="BQ27" i="47"/>
  <c r="BH46" i="47"/>
  <c r="CA45" i="47"/>
  <c r="BB46" i="47"/>
  <c r="CA30" i="47"/>
  <c r="BH30" i="47"/>
  <c r="BV30" i="47"/>
  <c r="BL30" i="47"/>
  <c r="BL46" i="47"/>
  <c r="BQ45" i="47"/>
  <c r="BV37" i="47"/>
  <c r="BH45" i="47"/>
  <c r="EK46" i="47"/>
  <c r="AQ33" i="14"/>
  <c r="CA37" i="47"/>
  <c r="BQ39" i="47"/>
  <c r="BH39" i="47"/>
  <c r="BL39" i="47"/>
  <c r="BV39" i="47"/>
  <c r="BB39" i="47"/>
  <c r="CA39" i="47"/>
  <c r="BQ42" i="47"/>
  <c r="BL42" i="47"/>
  <c r="BV42" i="47"/>
  <c r="CA42" i="47"/>
  <c r="BH37" i="47"/>
  <c r="BB42" i="47"/>
  <c r="BV45" i="47"/>
  <c r="BB45" i="47"/>
  <c r="BL36" i="47"/>
  <c r="CA36" i="47"/>
  <c r="BQ36" i="47"/>
  <c r="BV36" i="47"/>
  <c r="BH36" i="47"/>
  <c r="BB36" i="47"/>
  <c r="BH35" i="47"/>
  <c r="BL35" i="47"/>
  <c r="BB35" i="47"/>
  <c r="BQ35" i="47"/>
  <c r="BV35" i="47"/>
  <c r="CA35" i="47"/>
  <c r="AR26" i="14"/>
  <c r="EK41" i="47"/>
  <c r="AQ26" i="14"/>
  <c r="EK58" i="47"/>
  <c r="AP17" i="14"/>
  <c r="C2" i="52" s="1"/>
  <c r="C3" i="52" s="1"/>
  <c r="G25" i="9"/>
  <c r="H25" i="9"/>
  <c r="F25" i="9"/>
  <c r="D25" i="9"/>
  <c r="C26" i="9" s="1"/>
  <c r="C27" i="9" s="1"/>
  <c r="E25" i="9"/>
  <c r="C25" i="9"/>
  <c r="BQ47" i="47"/>
  <c r="BH47" i="47"/>
  <c r="BL47" i="47"/>
  <c r="BB47" i="47"/>
  <c r="BV47" i="47"/>
  <c r="CA47" i="47"/>
  <c r="E33" i="9"/>
  <c r="G33" i="9"/>
  <c r="F33" i="9"/>
  <c r="D33" i="9"/>
  <c r="C34" i="9" s="1"/>
  <c r="C35" i="9" s="1"/>
  <c r="C33" i="9"/>
  <c r="H33" i="9"/>
  <c r="BV28" i="47"/>
  <c r="BQ28" i="47"/>
  <c r="BH28" i="47"/>
  <c r="BL28" i="47"/>
  <c r="BB28" i="47"/>
  <c r="CA28" i="47"/>
  <c r="EK52" i="47"/>
  <c r="AQ43" i="14"/>
  <c r="E34" i="38"/>
  <c r="BG54" i="47" s="1"/>
  <c r="I42" i="38"/>
  <c r="I43" i="38" s="1"/>
  <c r="L15" i="21"/>
  <c r="S37" i="36" l="1"/>
  <c r="W37" i="49"/>
  <c r="X37" i="42"/>
  <c r="AX36" i="14"/>
  <c r="W24" i="49"/>
  <c r="X24" i="42"/>
  <c r="AX23" i="14"/>
  <c r="S24" i="36"/>
  <c r="AX21" i="14"/>
  <c r="X22" i="42"/>
  <c r="W22" i="49"/>
  <c r="S22" i="36"/>
  <c r="W10" i="49"/>
  <c r="S10" i="36"/>
  <c r="AX9" i="14"/>
  <c r="X10" i="42"/>
  <c r="AX24" i="14"/>
  <c r="W25" i="49"/>
  <c r="S25" i="36"/>
  <c r="X25" i="42"/>
  <c r="CF20" i="47"/>
  <c r="Y8" i="38"/>
  <c r="Y11" i="38"/>
  <c r="CF23" i="47"/>
  <c r="CF18" i="47"/>
  <c r="Y6" i="38"/>
  <c r="R13" i="42"/>
  <c r="V13" i="34"/>
  <c r="X13" i="34" s="1"/>
  <c r="Q15" i="21" s="1"/>
  <c r="U15" i="21" s="1"/>
  <c r="L13" i="34"/>
  <c r="N13" i="34" s="1"/>
  <c r="I15" i="21" s="1"/>
  <c r="M15" i="21" s="1"/>
  <c r="L8" i="34"/>
  <c r="N8" i="34" s="1"/>
  <c r="I10" i="21" s="1"/>
  <c r="M10" i="21" s="1"/>
  <c r="R8" i="42"/>
  <c r="V8" i="34"/>
  <c r="X8" i="34" s="1"/>
  <c r="Q10" i="21" s="1"/>
  <c r="U10" i="21" s="1"/>
  <c r="AH17" i="14"/>
  <c r="AH22" i="14" s="1"/>
  <c r="AR37" i="14"/>
  <c r="AR38" i="14" s="1"/>
  <c r="AH37" i="14"/>
  <c r="AH38" i="14" s="1"/>
  <c r="AQ22" i="14" l="1"/>
  <c r="AQ52" i="14" s="1"/>
  <c r="AQ53" i="14" s="1"/>
  <c r="AQ54" i="14" s="1"/>
  <c r="I6" i="21" s="1"/>
  <c r="W9" i="49"/>
  <c r="AX8" i="14"/>
  <c r="X9" i="42"/>
  <c r="S9" i="36"/>
  <c r="S12" i="36"/>
  <c r="AX11" i="14"/>
  <c r="X12" i="42"/>
  <c r="W12" i="49"/>
  <c r="Y12" i="38"/>
  <c r="CF24" i="47"/>
  <c r="AX6" i="14"/>
  <c r="W7" i="49"/>
  <c r="X7" i="42"/>
  <c r="S7" i="36"/>
  <c r="Y7" i="38"/>
  <c r="CF19" i="47"/>
  <c r="AM52" i="14"/>
  <c r="EK50" i="47"/>
  <c r="EK38" i="47"/>
  <c r="AR22" i="14"/>
  <c r="AR52" i="14" s="1"/>
  <c r="AR53" i="14" s="1"/>
  <c r="AR54" i="14" s="1"/>
  <c r="Q6" i="21" s="1"/>
  <c r="U6" i="21" s="1"/>
  <c r="AM53" i="14" l="1"/>
  <c r="AH52" i="14" s="1"/>
  <c r="S13" i="36"/>
  <c r="W13" i="49"/>
  <c r="X13" i="42"/>
  <c r="AX12" i="14"/>
  <c r="S8" i="36"/>
  <c r="AX7" i="14"/>
  <c r="W8" i="49"/>
  <c r="X8" i="42"/>
  <c r="Y3" i="38" l="1"/>
  <c r="EK59" i="47"/>
  <c r="G11" i="21"/>
  <c r="G9" i="21"/>
  <c r="M6" i="21"/>
  <c r="K9" i="21" s="1"/>
  <c r="G15" i="21"/>
  <c r="G10" i="21"/>
  <c r="G14" i="21"/>
  <c r="O14" i="21"/>
  <c r="O9" i="21"/>
  <c r="O10" i="21"/>
  <c r="O11" i="21"/>
  <c r="O15" i="21"/>
  <c r="S11" i="21"/>
  <c r="S9" i="21"/>
  <c r="S14" i="21"/>
  <c r="S15" i="21"/>
  <c r="S10" i="21"/>
  <c r="W11" i="38" l="1"/>
  <c r="AV11" i="14" s="1"/>
  <c r="AX3" i="14"/>
  <c r="W12" i="38"/>
  <c r="W4" i="49"/>
  <c r="W8" i="38"/>
  <c r="S4" i="36"/>
  <c r="X4" i="42"/>
  <c r="W7" i="38"/>
  <c r="W6" i="38"/>
  <c r="K15" i="21"/>
  <c r="K11" i="21"/>
  <c r="K10" i="21"/>
  <c r="K14" i="21"/>
  <c r="V24" i="47" l="1"/>
  <c r="U13" i="49"/>
  <c r="AV12" i="14"/>
  <c r="Q13" i="36"/>
  <c r="U9" i="49"/>
  <c r="Q9" i="36"/>
  <c r="V19" i="47"/>
  <c r="V8" i="42"/>
  <c r="U7" i="49"/>
  <c r="V12" i="42"/>
  <c r="V23" i="47"/>
  <c r="BQ23" i="47" s="1"/>
  <c r="U12" i="49"/>
  <c r="V20" i="47"/>
  <c r="BQ20" i="47" s="1"/>
  <c r="Q12" i="36"/>
  <c r="AV6" i="14"/>
  <c r="Q8" i="36"/>
  <c r="V13" i="42"/>
  <c r="V9" i="42"/>
  <c r="Q7" i="36"/>
  <c r="V18" i="47"/>
  <c r="BL18" i="47" s="1"/>
  <c r="V7" i="42"/>
  <c r="AV8" i="14"/>
  <c r="AV7" i="14"/>
  <c r="U8" i="49"/>
  <c r="BV20" i="47" l="1"/>
  <c r="BL23" i="47"/>
  <c r="CA23" i="47"/>
  <c r="BV23" i="47"/>
  <c r="BB20" i="47"/>
  <c r="BL20" i="47"/>
  <c r="CA18" i="47"/>
  <c r="BV18" i="47"/>
  <c r="BB18" i="47"/>
  <c r="CA20" i="47"/>
  <c r="BB23" i="47"/>
  <c r="BH20" i="47"/>
  <c r="BH23" i="47"/>
  <c r="BH18" i="47"/>
  <c r="BQ18"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500-000001000000}">
      <text>
        <r>
          <rPr>
            <sz val="9"/>
            <color indexed="81"/>
            <rFont val="ＭＳ Ｐゴシック"/>
            <family val="3"/>
            <charset val="128"/>
          </rPr>
          <t>黄色のセルに金額を入力してください。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600-000001000000}">
      <text>
        <r>
          <rPr>
            <sz val="9"/>
            <color indexed="81"/>
            <rFont val="ＭＳ Ｐゴシック"/>
            <family val="3"/>
            <charset val="128"/>
          </rPr>
          <t>黄色のセルに金額を入力してください。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700-000001000000}">
      <text>
        <r>
          <rPr>
            <sz val="9"/>
            <color indexed="81"/>
            <rFont val="ＭＳ Ｐゴシック"/>
            <family val="3"/>
            <charset val="128"/>
          </rPr>
          <t>黄色のセルに人数を入力してください。</t>
        </r>
      </text>
    </comment>
    <comment ref="H5" authorId="0" shapeId="0" xr:uid="{00000000-0006-0000-0700-000002000000}">
      <text>
        <r>
          <rPr>
            <sz val="9"/>
            <color indexed="81"/>
            <rFont val="ＭＳ Ｐゴシック"/>
            <family val="3"/>
            <charset val="128"/>
          </rPr>
          <t xml:space="preserve">一級有資格者で監理技術者講習の受講者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00000000-0006-0000-0800-000001000000}">
      <text>
        <r>
          <rPr>
            <sz val="9"/>
            <color indexed="81"/>
            <rFont val="ＭＳ Ｐゴシック"/>
            <family val="3"/>
            <charset val="128"/>
          </rPr>
          <t>チェックをするとＹ評点が０点になります。（設立または事業開始から12ヶ月未満の場合、チェックしてください）</t>
        </r>
      </text>
    </comment>
    <comment ref="C4" authorId="0" shapeId="0" xr:uid="{00000000-0006-0000-0800-000002000000}">
      <text>
        <r>
          <rPr>
            <sz val="9"/>
            <color indexed="81"/>
            <rFont val="ＭＳ Ｐゴシック"/>
            <family val="3"/>
            <charset val="128"/>
          </rPr>
          <t>黄色のセルに決算等届出書の金額を入力して下さい。金額が無い場合は０（ゼロ）を入力して下さい。（空欄）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3" authorId="0" shapeId="0" xr:uid="{8AE5AE4B-322D-462A-977B-2E8D51B57920}">
      <text>
        <r>
          <rPr>
            <sz val="9"/>
            <color indexed="81"/>
            <rFont val="ＭＳ Ｐゴシック"/>
            <family val="3"/>
            <charset val="128"/>
          </rPr>
          <t>各技術者が取得したCPD単位を「告示別表第18」をもとに換算した合計</t>
        </r>
      </text>
    </comment>
    <comment ref="C14" authorId="0" shapeId="0" xr:uid="{3BF4838F-8E20-479E-8EC4-137F1DA1ED2C}">
      <text>
        <r>
          <rPr>
            <sz val="9"/>
            <color indexed="81"/>
            <rFont val="ＭＳ Ｐゴシック"/>
            <family val="3"/>
            <charset val="128"/>
          </rPr>
          <t>監理技術者、主任技術者、一級技士補、二級技士補の数の合計</t>
        </r>
      </text>
    </comment>
    <comment ref="C15" authorId="0" shapeId="0" xr:uid="{883A6D4F-804A-4460-84C2-A4BF79F16C40}">
      <text>
        <r>
          <rPr>
            <sz val="9"/>
            <color indexed="81"/>
            <rFont val="ＭＳ Ｐゴシック"/>
            <family val="3"/>
            <charset val="128"/>
          </rPr>
          <t>審査基準日以前３年間に技能レベルが１以上向上した者の合計</t>
        </r>
      </text>
    </comment>
    <comment ref="C16" authorId="0" shapeId="0" xr:uid="{FC8B32C1-150A-44CB-8EBF-5094AE041B7D}">
      <text>
        <r>
          <rPr>
            <sz val="9"/>
            <color indexed="81"/>
            <rFont val="ＭＳ Ｐゴシック"/>
            <family val="3"/>
            <charset val="128"/>
          </rPr>
          <t>審査基準日以前３年間に施工に従事した者の合計</t>
        </r>
      </text>
    </comment>
    <comment ref="C17" authorId="0" shapeId="0" xr:uid="{9EBC0995-A1A9-434E-8487-907CF7E13617}">
      <text>
        <r>
          <rPr>
            <sz val="9"/>
            <color indexed="81"/>
            <rFont val="ＭＳ Ｐゴシック"/>
            <family val="3"/>
            <charset val="128"/>
          </rPr>
          <t>審査基準日以前３年前の日以前にレベル４の評価を受けていた者の合計</t>
        </r>
      </text>
    </comment>
  </commentList>
</comments>
</file>

<file path=xl/sharedStrings.xml><?xml version="1.0" encoding="utf-8"?>
<sst xmlns="http://schemas.openxmlformats.org/spreadsheetml/2006/main" count="1558" uniqueCount="781">
  <si>
    <t>　　　　評　　　　　　　　　　　　　点　　　　　　　　　（W)</t>
    <rPh sb="4" eb="19">
      <t>ヒョウテン</t>
    </rPh>
    <phoneticPr fontId="2"/>
  </si>
  <si>
    <t>造　　園</t>
    <rPh sb="0" eb="4">
      <t>ゾウエン</t>
    </rPh>
    <phoneticPr fontId="2"/>
  </si>
  <si>
    <t>完成工事高</t>
    <rPh sb="0" eb="2">
      <t>カンセイ</t>
    </rPh>
    <rPh sb="2" eb="4">
      <t>コウジ</t>
    </rPh>
    <rPh sb="4" eb="5">
      <t>ウリアゲダカ</t>
    </rPh>
    <phoneticPr fontId="2"/>
  </si>
  <si>
    <t>さく井</t>
    <rPh sb="2" eb="3">
      <t>イ</t>
    </rPh>
    <phoneticPr fontId="2"/>
  </si>
  <si>
    <t>兼業事業売上高</t>
    <rPh sb="0" eb="2">
      <t>ケンギョウ</t>
    </rPh>
    <rPh sb="2" eb="4">
      <t>ジギョウ</t>
    </rPh>
    <rPh sb="4" eb="6">
      <t>ウリアゲ</t>
    </rPh>
    <rPh sb="6" eb="7">
      <t>ダカ</t>
    </rPh>
    <phoneticPr fontId="2"/>
  </si>
  <si>
    <t>建　　具</t>
    <rPh sb="0" eb="4">
      <t>タテグ</t>
    </rPh>
    <phoneticPr fontId="2"/>
  </si>
  <si>
    <t>営業利益</t>
    <rPh sb="0" eb="2">
      <t>エイギョウ</t>
    </rPh>
    <rPh sb="2" eb="4">
      <t>リエキ</t>
    </rPh>
    <phoneticPr fontId="2"/>
  </si>
  <si>
    <t>水道施設</t>
    <rPh sb="0" eb="2">
      <t>スイドウ</t>
    </rPh>
    <rPh sb="2" eb="4">
      <t>シセツ</t>
    </rPh>
    <phoneticPr fontId="2"/>
  </si>
  <si>
    <t>受取利息配当金</t>
    <rPh sb="0" eb="2">
      <t>ウケトリ</t>
    </rPh>
    <rPh sb="2" eb="4">
      <t>リソク</t>
    </rPh>
    <rPh sb="4" eb="7">
      <t>ハイトウキン</t>
    </rPh>
    <phoneticPr fontId="2"/>
  </si>
  <si>
    <t>消防施設</t>
    <rPh sb="0" eb="2">
      <t>ショウボウ</t>
    </rPh>
    <rPh sb="2" eb="4">
      <t>シセツ</t>
    </rPh>
    <phoneticPr fontId="2"/>
  </si>
  <si>
    <t>支　払　利　息</t>
    <rPh sb="0" eb="3">
      <t>シハラ</t>
    </rPh>
    <rPh sb="4" eb="7">
      <t>リソク</t>
    </rPh>
    <phoneticPr fontId="2"/>
  </si>
  <si>
    <t>固定負債</t>
    <rPh sb="0" eb="2">
      <t>コテイ</t>
    </rPh>
    <rPh sb="2" eb="4">
      <t>フサイ</t>
    </rPh>
    <phoneticPr fontId="2"/>
  </si>
  <si>
    <t>清掃施設</t>
    <rPh sb="0" eb="2">
      <t>セイソウ</t>
    </rPh>
    <rPh sb="2" eb="4">
      <t>シセツ</t>
    </rPh>
    <phoneticPr fontId="2"/>
  </si>
  <si>
    <t>経常利益</t>
    <rPh sb="0" eb="2">
      <t>ケイジョウ</t>
    </rPh>
    <rPh sb="2" eb="4">
      <t>リエキ</t>
    </rPh>
    <phoneticPr fontId="2"/>
  </si>
  <si>
    <t>支払利息</t>
    <rPh sb="0" eb="2">
      <t>シハライ</t>
    </rPh>
    <rPh sb="2" eb="4">
      <t>リソク</t>
    </rPh>
    <phoneticPr fontId="2"/>
  </si>
  <si>
    <t>経　営　状　況</t>
    <rPh sb="0" eb="3">
      <t>ケイエイ</t>
    </rPh>
    <rPh sb="4" eb="7">
      <t>ジョウキョウ</t>
    </rPh>
    <phoneticPr fontId="2"/>
  </si>
  <si>
    <t>数　　値</t>
    <rPh sb="0" eb="4">
      <t>スウチ</t>
    </rPh>
    <phoneticPr fontId="2"/>
  </si>
  <si>
    <t>計算結果</t>
    <rPh sb="0" eb="2">
      <t>ケイサン</t>
    </rPh>
    <rPh sb="2" eb="4">
      <t>ケッカ</t>
    </rPh>
    <phoneticPr fontId="2"/>
  </si>
  <si>
    <t>係数</t>
    <rPh sb="0" eb="2">
      <t>ケイスウ</t>
    </rPh>
    <phoneticPr fontId="2"/>
  </si>
  <si>
    <t>自己資本比率</t>
    <rPh sb="0" eb="2">
      <t>ジコ</t>
    </rPh>
    <rPh sb="2" eb="4">
      <t>シホン</t>
    </rPh>
    <rPh sb="4" eb="6">
      <t>ヒリツ</t>
    </rPh>
    <phoneticPr fontId="2"/>
  </si>
  <si>
    <t>純支払利息比率</t>
    <rPh sb="0" eb="1">
      <t>ジュン</t>
    </rPh>
    <rPh sb="1" eb="3">
      <t>シハライ</t>
    </rPh>
    <rPh sb="3" eb="5">
      <t>リソク</t>
    </rPh>
    <rPh sb="5" eb="7">
      <t>ヒリツ</t>
    </rPh>
    <phoneticPr fontId="2"/>
  </si>
  <si>
    <t>自己資本対固定資産比率</t>
    <rPh sb="0" eb="2">
      <t>ジコ</t>
    </rPh>
    <rPh sb="2" eb="4">
      <t>シホン</t>
    </rPh>
    <rPh sb="4" eb="5">
      <t>タイ</t>
    </rPh>
    <rPh sb="5" eb="7">
      <t>コテイ</t>
    </rPh>
    <rPh sb="7" eb="9">
      <t>シサン</t>
    </rPh>
    <rPh sb="9" eb="11">
      <t>ヒリツ</t>
    </rPh>
    <phoneticPr fontId="2"/>
  </si>
  <si>
    <t>評　　　　　点　　　　 （ Ｙ ）</t>
    <rPh sb="0" eb="7">
      <t>ヒョウテン</t>
    </rPh>
    <phoneticPr fontId="2"/>
  </si>
  <si>
    <t>ﾀｲﾙ･れんが･ﾌﾞﾛｯｸ</t>
    <phoneticPr fontId="2"/>
  </si>
  <si>
    <t>ﾌﾟﾚｽﾄｺﾝｸﾘｰﾄ</t>
    <phoneticPr fontId="2"/>
  </si>
  <si>
    <t>ガラス</t>
    <phoneticPr fontId="2"/>
  </si>
  <si>
    <t>しゅんせつ</t>
    <phoneticPr fontId="2"/>
  </si>
  <si>
    <t>最高点</t>
    <rPh sb="0" eb="3">
      <t>サイコウテン</t>
    </rPh>
    <phoneticPr fontId="2"/>
  </si>
  <si>
    <t>最低点</t>
    <rPh sb="0" eb="2">
      <t>サイテイ</t>
    </rPh>
    <rPh sb="2" eb="3">
      <t>テン</t>
    </rPh>
    <phoneticPr fontId="2"/>
  </si>
  <si>
    <t>上限値</t>
    <rPh sb="0" eb="3">
      <t>ジョウゲンチ</t>
    </rPh>
    <phoneticPr fontId="2"/>
  </si>
  <si>
    <t>下限値</t>
    <rPh sb="0" eb="3">
      <t>カゲンチ</t>
    </rPh>
    <phoneticPr fontId="2"/>
  </si>
  <si>
    <t>完成工事高（X1）</t>
    <rPh sb="0" eb="5">
      <t>カンセイコウジダカ</t>
    </rPh>
    <phoneticPr fontId="2"/>
  </si>
  <si>
    <t>点数</t>
    <rPh sb="0" eb="2">
      <t>テンスウ</t>
    </rPh>
    <phoneticPr fontId="2"/>
  </si>
  <si>
    <t>区分</t>
    <rPh sb="0" eb="2">
      <t>クブン</t>
    </rPh>
    <phoneticPr fontId="2"/>
  </si>
  <si>
    <t>評点</t>
    <rPh sb="0" eb="2">
      <t>ヒョウテン</t>
    </rPh>
    <phoneticPr fontId="2"/>
  </si>
  <si>
    <t>告示</t>
    <rPh sb="0" eb="2">
      <t>コクジ</t>
    </rPh>
    <phoneticPr fontId="2"/>
  </si>
  <si>
    <t>年間平均完成工事高</t>
    <rPh sb="0" eb="2">
      <t>ネンカン</t>
    </rPh>
    <rPh sb="2" eb="4">
      <t>ヘイキン</t>
    </rPh>
    <rPh sb="4" eb="6">
      <t>カンセイ</t>
    </rPh>
    <rPh sb="6" eb="8">
      <t>コウジ</t>
    </rPh>
    <rPh sb="8" eb="9">
      <t>ダカ</t>
    </rPh>
    <phoneticPr fontId="2"/>
  </si>
  <si>
    <t>サンプル版</t>
    <rPh sb="4" eb="5">
      <t>バン</t>
    </rPh>
    <phoneticPr fontId="2"/>
  </si>
  <si>
    <t>製品版</t>
    <rPh sb="0" eb="1">
      <t>セイ</t>
    </rPh>
    <rPh sb="1" eb="2">
      <t>シナ</t>
    </rPh>
    <rPh sb="2" eb="3">
      <t>バン</t>
    </rPh>
    <phoneticPr fontId="2"/>
  </si>
  <si>
    <t>選択結果</t>
    <rPh sb="0" eb="2">
      <t>センタク</t>
    </rPh>
    <rPh sb="2" eb="4">
      <t>ケッカ</t>
    </rPh>
    <phoneticPr fontId="2"/>
  </si>
  <si>
    <t>年間平均完成工事高</t>
    <rPh sb="0" eb="2">
      <t>ネンカン</t>
    </rPh>
    <rPh sb="2" eb="4">
      <t>ヘイキン</t>
    </rPh>
    <rPh sb="4" eb="9">
      <t>カンセイコウジダカ</t>
    </rPh>
    <phoneticPr fontId="2"/>
  </si>
  <si>
    <t>自己資本</t>
    <rPh sb="0" eb="2">
      <t>ジコ</t>
    </rPh>
    <rPh sb="2" eb="4">
      <t>シホン</t>
    </rPh>
    <phoneticPr fontId="2"/>
  </si>
  <si>
    <t>自己資本額</t>
    <rPh sb="0" eb="2">
      <t>ジコ</t>
    </rPh>
    <rPh sb="2" eb="5">
      <t>シホンガク</t>
    </rPh>
    <phoneticPr fontId="2"/>
  </si>
  <si>
    <t>自己資本額</t>
    <rPh sb="0" eb="2">
      <t>ジコ</t>
    </rPh>
    <rPh sb="2" eb="4">
      <t>シホン</t>
    </rPh>
    <rPh sb="4" eb="5">
      <t>ガク</t>
    </rPh>
    <phoneticPr fontId="2"/>
  </si>
  <si>
    <t>基準決算</t>
    <rPh sb="0" eb="2">
      <t>キジュン</t>
    </rPh>
    <rPh sb="2" eb="4">
      <t>ケッサン</t>
    </rPh>
    <phoneticPr fontId="2"/>
  </si>
  <si>
    <t>2年平均</t>
    <rPh sb="0" eb="2">
      <t>２ネン</t>
    </rPh>
    <rPh sb="2" eb="4">
      <t>ヘイキン</t>
    </rPh>
    <phoneticPr fontId="2"/>
  </si>
  <si>
    <t>3年平均</t>
    <rPh sb="0" eb="2">
      <t>３ネン</t>
    </rPh>
    <rPh sb="2" eb="4">
      <t>ヘイキン</t>
    </rPh>
    <phoneticPr fontId="2"/>
  </si>
  <si>
    <t>その他</t>
    <rPh sb="0" eb="3">
      <t>ソノタ</t>
    </rPh>
    <phoneticPr fontId="2"/>
  </si>
  <si>
    <t>土木一式</t>
    <rPh sb="0" eb="2">
      <t>ドボク</t>
    </rPh>
    <rPh sb="2" eb="4">
      <t>イッシキ</t>
    </rPh>
    <phoneticPr fontId="2"/>
  </si>
  <si>
    <t>受取手形</t>
    <rPh sb="0" eb="2">
      <t>ウケトリ</t>
    </rPh>
    <rPh sb="2" eb="4">
      <t>テガタ</t>
    </rPh>
    <phoneticPr fontId="2"/>
  </si>
  <si>
    <t>数値等</t>
    <rPh sb="0" eb="2">
      <t>スウチ</t>
    </rPh>
    <rPh sb="2" eb="3">
      <t>トウ</t>
    </rPh>
    <phoneticPr fontId="2"/>
  </si>
  <si>
    <t>完成工事未収入金</t>
    <rPh sb="0" eb="2">
      <t>カンセイ</t>
    </rPh>
    <rPh sb="2" eb="4">
      <t>コウジ</t>
    </rPh>
    <rPh sb="4" eb="6">
      <t>ミシュウ</t>
    </rPh>
    <rPh sb="6" eb="8">
      <t>ニュウキン</t>
    </rPh>
    <phoneticPr fontId="2"/>
  </si>
  <si>
    <t>雇用保険加入の有無</t>
    <rPh sb="0" eb="2">
      <t>コヨウ</t>
    </rPh>
    <rPh sb="2" eb="4">
      <t>ホケン</t>
    </rPh>
    <rPh sb="4" eb="6">
      <t>カニュウ</t>
    </rPh>
    <rPh sb="7" eb="9">
      <t>ウム</t>
    </rPh>
    <phoneticPr fontId="2"/>
  </si>
  <si>
    <t>建築一式</t>
    <rPh sb="0" eb="2">
      <t>ケンチク</t>
    </rPh>
    <rPh sb="2" eb="4">
      <t>イッシキ</t>
    </rPh>
    <phoneticPr fontId="2"/>
  </si>
  <si>
    <t>大　　工</t>
    <rPh sb="0" eb="4">
      <t>ダイク</t>
    </rPh>
    <phoneticPr fontId="2"/>
  </si>
  <si>
    <t>未成工事支出金</t>
    <rPh sb="0" eb="2">
      <t>ミカンセイ</t>
    </rPh>
    <rPh sb="2" eb="4">
      <t>コウジ</t>
    </rPh>
    <rPh sb="4" eb="7">
      <t>シシュツキン</t>
    </rPh>
    <phoneticPr fontId="2"/>
  </si>
  <si>
    <t>左　　官</t>
    <rPh sb="0" eb="4">
      <t>サカン</t>
    </rPh>
    <phoneticPr fontId="2"/>
  </si>
  <si>
    <t>貸倒引当金</t>
    <rPh sb="0" eb="2">
      <t>カシダオ</t>
    </rPh>
    <rPh sb="2" eb="4">
      <t>ヒキアテ</t>
    </rPh>
    <rPh sb="4" eb="5">
      <t>キン</t>
    </rPh>
    <phoneticPr fontId="2"/>
  </si>
  <si>
    <t>とび･土工･ｺﾝｸﾘｰﾄ</t>
    <rPh sb="3" eb="4">
      <t>ド</t>
    </rPh>
    <rPh sb="4" eb="5">
      <t>コウ</t>
    </rPh>
    <phoneticPr fontId="2"/>
  </si>
  <si>
    <t>法面処理</t>
    <rPh sb="0" eb="1">
      <t>ホウ</t>
    </rPh>
    <rPh sb="1" eb="2">
      <t>メン</t>
    </rPh>
    <rPh sb="2" eb="4">
      <t>ショリ</t>
    </rPh>
    <phoneticPr fontId="2"/>
  </si>
  <si>
    <t>建設業退職金共済制度加入の有無</t>
    <rPh sb="0" eb="3">
      <t>ケンセツギョウ</t>
    </rPh>
    <rPh sb="3" eb="6">
      <t>タイショクキン</t>
    </rPh>
    <rPh sb="6" eb="8">
      <t>キョウサイ</t>
    </rPh>
    <rPh sb="8" eb="10">
      <t>セイド</t>
    </rPh>
    <rPh sb="10" eb="12">
      <t>カニュウ</t>
    </rPh>
    <rPh sb="13" eb="15">
      <t>ウム</t>
    </rPh>
    <phoneticPr fontId="2"/>
  </si>
  <si>
    <t>石</t>
    <rPh sb="0" eb="1">
      <t>イシ</t>
    </rPh>
    <phoneticPr fontId="2"/>
  </si>
  <si>
    <t>屋　　根</t>
    <rPh sb="0" eb="4">
      <t>ヤネ</t>
    </rPh>
    <phoneticPr fontId="2"/>
  </si>
  <si>
    <t>支払手形</t>
    <rPh sb="0" eb="2">
      <t>シハライ</t>
    </rPh>
    <rPh sb="2" eb="4">
      <t>テガタ</t>
    </rPh>
    <phoneticPr fontId="2"/>
  </si>
  <si>
    <t>電　　気</t>
    <rPh sb="0" eb="4">
      <t>デンキ</t>
    </rPh>
    <phoneticPr fontId="2"/>
  </si>
  <si>
    <t>管</t>
    <rPh sb="0" eb="1">
      <t>カン</t>
    </rPh>
    <phoneticPr fontId="2"/>
  </si>
  <si>
    <t>工事未払金</t>
    <rPh sb="0" eb="5">
      <t>コウジミハライキン</t>
    </rPh>
    <phoneticPr fontId="2"/>
  </si>
  <si>
    <t>鋼構造物</t>
    <rPh sb="0" eb="1">
      <t>コウ</t>
    </rPh>
    <rPh sb="1" eb="2">
      <t>コウ</t>
    </rPh>
    <rPh sb="2" eb="3">
      <t>ゾウ</t>
    </rPh>
    <rPh sb="3" eb="4">
      <t>ブツ</t>
    </rPh>
    <phoneticPr fontId="2"/>
  </si>
  <si>
    <t>未成工事受入金</t>
    <rPh sb="0" eb="1">
      <t>ミ</t>
    </rPh>
    <rPh sb="1" eb="2">
      <t>セイ</t>
    </rPh>
    <rPh sb="2" eb="4">
      <t>コウジ</t>
    </rPh>
    <rPh sb="4" eb="7">
      <t>ウケイレキン</t>
    </rPh>
    <phoneticPr fontId="2"/>
  </si>
  <si>
    <t>法定外労働災害補償制度加入の有無</t>
    <rPh sb="0" eb="3">
      <t>ホウテイガイ</t>
    </rPh>
    <rPh sb="3" eb="5">
      <t>ロウドウ</t>
    </rPh>
    <rPh sb="5" eb="7">
      <t>サイガイ</t>
    </rPh>
    <rPh sb="7" eb="9">
      <t>ホショウ</t>
    </rPh>
    <rPh sb="9" eb="11">
      <t>セイド</t>
    </rPh>
    <rPh sb="11" eb="13">
      <t>カニュウ</t>
    </rPh>
    <rPh sb="14" eb="16">
      <t>ウム</t>
    </rPh>
    <phoneticPr fontId="2"/>
  </si>
  <si>
    <t>鋼橋上部</t>
    <rPh sb="0" eb="1">
      <t>コウ</t>
    </rPh>
    <rPh sb="1" eb="2">
      <t>ハシ</t>
    </rPh>
    <rPh sb="2" eb="4">
      <t>ジョウブ</t>
    </rPh>
    <phoneticPr fontId="2"/>
  </si>
  <si>
    <t>鉄　　筋</t>
    <rPh sb="0" eb="4">
      <t>テッキン</t>
    </rPh>
    <phoneticPr fontId="2"/>
  </si>
  <si>
    <t>板　　金</t>
    <rPh sb="0" eb="4">
      <t>バンキン</t>
    </rPh>
    <phoneticPr fontId="2"/>
  </si>
  <si>
    <t>塗　　装</t>
    <rPh sb="0" eb="4">
      <t>トソウ</t>
    </rPh>
    <phoneticPr fontId="2"/>
  </si>
  <si>
    <t>営業年数</t>
    <rPh sb="0" eb="2">
      <t>エイギョウ</t>
    </rPh>
    <rPh sb="2" eb="4">
      <t>ネンスウ</t>
    </rPh>
    <phoneticPr fontId="2"/>
  </si>
  <si>
    <t>年</t>
    <rPh sb="0" eb="1">
      <t>ネン</t>
    </rPh>
    <phoneticPr fontId="2"/>
  </si>
  <si>
    <t>防　　水</t>
    <rPh sb="0" eb="4">
      <t>ボウスイ</t>
    </rPh>
    <phoneticPr fontId="2"/>
  </si>
  <si>
    <t>内装仕上</t>
    <rPh sb="0" eb="2">
      <t>ナイソウ</t>
    </rPh>
    <rPh sb="2" eb="4">
      <t>シア</t>
    </rPh>
    <phoneticPr fontId="2"/>
  </si>
  <si>
    <t>機械器具設置</t>
    <rPh sb="0" eb="2">
      <t>キカイ</t>
    </rPh>
    <rPh sb="2" eb="4">
      <t>キグ</t>
    </rPh>
    <rPh sb="4" eb="6">
      <t>セッチ</t>
    </rPh>
    <phoneticPr fontId="2"/>
  </si>
  <si>
    <t>熱絶縁</t>
    <rPh sb="0" eb="1">
      <t>ネツ</t>
    </rPh>
    <rPh sb="1" eb="3">
      <t>ゼツエン</t>
    </rPh>
    <phoneticPr fontId="2"/>
  </si>
  <si>
    <t>電気通信</t>
    <rPh sb="0" eb="2">
      <t>デンキ</t>
    </rPh>
    <rPh sb="2" eb="4">
      <t>ツウシン</t>
    </rPh>
    <phoneticPr fontId="2"/>
  </si>
  <si>
    <t>完成工事高／売上高</t>
    <rPh sb="0" eb="2">
      <t>カンセイ</t>
    </rPh>
    <rPh sb="2" eb="4">
      <t>コウジ</t>
    </rPh>
    <rPh sb="4" eb="5">
      <t>ダカ</t>
    </rPh>
    <rPh sb="6" eb="8">
      <t>ウリアゲ</t>
    </rPh>
    <rPh sb="8" eb="9">
      <t>ダカ</t>
    </rPh>
    <phoneticPr fontId="2"/>
  </si>
  <si>
    <t>郵便番号</t>
    <rPh sb="0" eb="4">
      <t>ユウビンバンゴウ</t>
    </rPh>
    <phoneticPr fontId="2"/>
  </si>
  <si>
    <t>住所</t>
    <rPh sb="0" eb="2">
      <t>ジュウショ</t>
    </rPh>
    <phoneticPr fontId="2"/>
  </si>
  <si>
    <t>商号</t>
    <rPh sb="0" eb="2">
      <t>ショウゴウ</t>
    </rPh>
    <phoneticPr fontId="2"/>
  </si>
  <si>
    <t>代表者氏名</t>
    <rPh sb="0" eb="3">
      <t>ダイヒョウシャ</t>
    </rPh>
    <rPh sb="3" eb="5">
      <t>シメイ</t>
    </rPh>
    <phoneticPr fontId="2"/>
  </si>
  <si>
    <t>電話番号</t>
    <rPh sb="0" eb="2">
      <t>デンワ</t>
    </rPh>
    <rPh sb="2" eb="4">
      <t>バンゴウ</t>
    </rPh>
    <phoneticPr fontId="2"/>
  </si>
  <si>
    <t>許可番号</t>
    <rPh sb="0" eb="2">
      <t>キョカ</t>
    </rPh>
    <rPh sb="2" eb="4">
      <t>バンゴウ</t>
    </rPh>
    <phoneticPr fontId="2"/>
  </si>
  <si>
    <t>審査基準日</t>
    <rPh sb="0" eb="2">
      <t>シンサ</t>
    </rPh>
    <rPh sb="2" eb="5">
      <t>キジュンビ</t>
    </rPh>
    <phoneticPr fontId="2"/>
  </si>
  <si>
    <t>法人又は個人の区分</t>
    <rPh sb="0" eb="2">
      <t>ホウジン</t>
    </rPh>
    <rPh sb="2" eb="3">
      <t>マタ</t>
    </rPh>
    <rPh sb="4" eb="6">
      <t>コジン</t>
    </rPh>
    <rPh sb="7" eb="9">
      <t>クブン</t>
    </rPh>
    <phoneticPr fontId="2"/>
  </si>
  <si>
    <t>土</t>
    <rPh sb="0" eb="1">
      <t>ド</t>
    </rPh>
    <phoneticPr fontId="2"/>
  </si>
  <si>
    <t>建</t>
    <rPh sb="0" eb="1">
      <t>ケン</t>
    </rPh>
    <phoneticPr fontId="2"/>
  </si>
  <si>
    <t>大</t>
    <rPh sb="0" eb="1">
      <t>ダイ</t>
    </rPh>
    <phoneticPr fontId="2"/>
  </si>
  <si>
    <t>左</t>
    <rPh sb="0" eb="1">
      <t>ヒダリ</t>
    </rPh>
    <phoneticPr fontId="2"/>
  </si>
  <si>
    <t>屋</t>
    <rPh sb="0" eb="1">
      <t>ヤ</t>
    </rPh>
    <phoneticPr fontId="2"/>
  </si>
  <si>
    <t>電</t>
    <rPh sb="0" eb="1">
      <t>デンキ</t>
    </rPh>
    <phoneticPr fontId="2"/>
  </si>
  <si>
    <t>夕</t>
    <rPh sb="0" eb="1">
      <t>ユウ</t>
    </rPh>
    <phoneticPr fontId="2"/>
  </si>
  <si>
    <t>鋼</t>
    <rPh sb="0" eb="1">
      <t>コウ</t>
    </rPh>
    <phoneticPr fontId="2"/>
  </si>
  <si>
    <t>筋</t>
    <rPh sb="0" eb="1">
      <t>テッキン</t>
    </rPh>
    <phoneticPr fontId="2"/>
  </si>
  <si>
    <t>板</t>
    <rPh sb="0" eb="1">
      <t>イタ</t>
    </rPh>
    <phoneticPr fontId="2"/>
  </si>
  <si>
    <t>塗</t>
    <rPh sb="0" eb="1">
      <t>トソウ</t>
    </rPh>
    <phoneticPr fontId="2"/>
  </si>
  <si>
    <t>防</t>
    <rPh sb="0" eb="1">
      <t>ボウスイ</t>
    </rPh>
    <phoneticPr fontId="2"/>
  </si>
  <si>
    <t>内</t>
    <rPh sb="0" eb="1">
      <t>ナイソウ</t>
    </rPh>
    <phoneticPr fontId="2"/>
  </si>
  <si>
    <t>機</t>
    <rPh sb="0" eb="1">
      <t>キカイ</t>
    </rPh>
    <phoneticPr fontId="2"/>
  </si>
  <si>
    <t>絶</t>
    <rPh sb="0" eb="1">
      <t>ゼツエン</t>
    </rPh>
    <phoneticPr fontId="2"/>
  </si>
  <si>
    <t>通</t>
    <rPh sb="0" eb="1">
      <t>ツウロ</t>
    </rPh>
    <phoneticPr fontId="2"/>
  </si>
  <si>
    <t>園</t>
    <rPh sb="0" eb="1">
      <t>エン</t>
    </rPh>
    <phoneticPr fontId="2"/>
  </si>
  <si>
    <t>井</t>
    <rPh sb="0" eb="1">
      <t>イ</t>
    </rPh>
    <phoneticPr fontId="2"/>
  </si>
  <si>
    <t>具</t>
    <rPh sb="0" eb="1">
      <t>グ</t>
    </rPh>
    <phoneticPr fontId="2"/>
  </si>
  <si>
    <t>水</t>
    <rPh sb="0" eb="1">
      <t>スイ</t>
    </rPh>
    <phoneticPr fontId="2"/>
  </si>
  <si>
    <t>消</t>
    <rPh sb="0" eb="1">
      <t>ショウボウ</t>
    </rPh>
    <phoneticPr fontId="2"/>
  </si>
  <si>
    <t>清</t>
    <rPh sb="0" eb="1">
      <t>セイソウ</t>
    </rPh>
    <phoneticPr fontId="2"/>
  </si>
  <si>
    <t>許可を受けている建設業</t>
    <rPh sb="0" eb="2">
      <t>キョカ</t>
    </rPh>
    <rPh sb="3" eb="4">
      <t>ウ</t>
    </rPh>
    <rPh sb="8" eb="11">
      <t>ケンセツギョウ</t>
    </rPh>
    <phoneticPr fontId="2"/>
  </si>
  <si>
    <t>審査対象　　　建設業</t>
    <rPh sb="0" eb="2">
      <t>シンサ</t>
    </rPh>
    <rPh sb="2" eb="4">
      <t>タイショウ</t>
    </rPh>
    <rPh sb="7" eb="10">
      <t>ケンセツギョウ</t>
    </rPh>
    <phoneticPr fontId="2"/>
  </si>
  <si>
    <t>合計</t>
    <rPh sb="0" eb="2">
      <t>ゴウケイ</t>
    </rPh>
    <phoneticPr fontId="2"/>
  </si>
  <si>
    <t>Y</t>
    <phoneticPr fontId="2"/>
  </si>
  <si>
    <t>X2</t>
    <phoneticPr fontId="2"/>
  </si>
  <si>
    <t>W</t>
    <phoneticPr fontId="2"/>
  </si>
  <si>
    <t>P</t>
    <phoneticPr fontId="2"/>
  </si>
  <si>
    <t>X1</t>
    <phoneticPr fontId="2"/>
  </si>
  <si>
    <t>Z</t>
    <phoneticPr fontId="2"/>
  </si>
  <si>
    <t>2期平均</t>
    <rPh sb="1" eb="2">
      <t>キ</t>
    </rPh>
    <rPh sb="2" eb="4">
      <t>ヘイキン</t>
    </rPh>
    <phoneticPr fontId="2"/>
  </si>
  <si>
    <t>3期平均</t>
    <rPh sb="1" eb="2">
      <t>キ</t>
    </rPh>
    <rPh sb="2" eb="4">
      <t>ヘイキン</t>
    </rPh>
    <phoneticPr fontId="2"/>
  </si>
  <si>
    <t>完成工事高</t>
    <rPh sb="0" eb="5">
      <t>カンセイコウジダカ</t>
    </rPh>
    <phoneticPr fontId="2"/>
  </si>
  <si>
    <t>本ソフトウェアを使用したことによって生じた、いかなる結果についても、著作権者はその責任を負いません。</t>
  </si>
  <si>
    <t>ﾌﾟﾚｽﾄｺﾝｸﾘｰﾄ</t>
  </si>
  <si>
    <t>経営事項審査評点</t>
    <rPh sb="0" eb="2">
      <t>ケイエイ</t>
    </rPh>
    <rPh sb="2" eb="4">
      <t>ジコウ</t>
    </rPh>
    <rPh sb="4" eb="6">
      <t>シンサ</t>
    </rPh>
    <rPh sb="6" eb="8">
      <t>ヒョウテン</t>
    </rPh>
    <phoneticPr fontId="2"/>
  </si>
  <si>
    <t>金額差</t>
    <rPh sb="0" eb="2">
      <t>キンガク</t>
    </rPh>
    <rPh sb="2" eb="3">
      <t>サ</t>
    </rPh>
    <phoneticPr fontId="2"/>
  </si>
  <si>
    <t>点差</t>
    <rPh sb="0" eb="2">
      <t>テンサ</t>
    </rPh>
    <phoneticPr fontId="2"/>
  </si>
  <si>
    <t>基準点</t>
    <rPh sb="0" eb="3">
      <t>キジュンテン</t>
    </rPh>
    <phoneticPr fontId="2"/>
  </si>
  <si>
    <t>評点X1</t>
    <rPh sb="0" eb="2">
      <t>ヒョウテン</t>
    </rPh>
    <phoneticPr fontId="2"/>
  </si>
  <si>
    <t>２年平均</t>
    <rPh sb="1" eb="4">
      <t>ネンヘイキン</t>
    </rPh>
    <phoneticPr fontId="2"/>
  </si>
  <si>
    <t>３年平均</t>
    <rPh sb="1" eb="4">
      <t>ネンヘイキン</t>
    </rPh>
    <phoneticPr fontId="2"/>
  </si>
  <si>
    <t>選　択</t>
    <rPh sb="0" eb="1">
      <t>セン</t>
    </rPh>
    <rPh sb="2" eb="3">
      <t>タク</t>
    </rPh>
    <phoneticPr fontId="2"/>
  </si>
  <si>
    <t>選択</t>
    <rPh sb="0" eb="2">
      <t>センタク</t>
    </rPh>
    <phoneticPr fontId="2"/>
  </si>
  <si>
    <t>本ソフトウェアの著作権は、合資会社ティーアンドエスソフト（T&amp;S Soft） が保有します。</t>
    <rPh sb="13" eb="17">
      <t>ゴウシガイシャ</t>
    </rPh>
    <phoneticPr fontId="2"/>
  </si>
  <si>
    <t>本ソフトウェアの一部または全部を合資会社ティーアンドエスソフト（T&amp;S Soft）に無断で複写等をすることはできません。</t>
    <rPh sb="8" eb="10">
      <t>イチブ</t>
    </rPh>
    <rPh sb="13" eb="15">
      <t>ゼンブ</t>
    </rPh>
    <rPh sb="42" eb="44">
      <t>ムダン</t>
    </rPh>
    <rPh sb="45" eb="47">
      <t>フクシャ</t>
    </rPh>
    <rPh sb="47" eb="48">
      <t>トウ</t>
    </rPh>
    <phoneticPr fontId="2"/>
  </si>
  <si>
    <t>建設業経理事務士</t>
    <rPh sb="0" eb="3">
      <t>ケンセツギョウ</t>
    </rPh>
    <rPh sb="3" eb="5">
      <t>ケイリ</t>
    </rPh>
    <rPh sb="5" eb="7">
      <t>ジム</t>
    </rPh>
    <rPh sb="7" eb="8">
      <t>シ</t>
    </rPh>
    <phoneticPr fontId="2"/>
  </si>
  <si>
    <t>等級</t>
    <rPh sb="0" eb="2">
      <t>トウキュウ</t>
    </rPh>
    <phoneticPr fontId="2"/>
  </si>
  <si>
    <t>大工</t>
    <rPh sb="0" eb="2">
      <t>ダイク</t>
    </rPh>
    <phoneticPr fontId="2"/>
  </si>
  <si>
    <t>左官</t>
    <rPh sb="0" eb="2">
      <t>サカン</t>
    </rPh>
    <phoneticPr fontId="2"/>
  </si>
  <si>
    <t>とび・土工・コンクリート</t>
    <rPh sb="3" eb="4">
      <t>ド</t>
    </rPh>
    <rPh sb="4" eb="5">
      <t>コウ</t>
    </rPh>
    <phoneticPr fontId="2"/>
  </si>
  <si>
    <t>法面処理</t>
    <rPh sb="0" eb="2">
      <t>ノリメン</t>
    </rPh>
    <rPh sb="2" eb="4">
      <t>ショリ</t>
    </rPh>
    <phoneticPr fontId="2"/>
  </si>
  <si>
    <t>屋根</t>
    <rPh sb="0" eb="2">
      <t>ヤネ</t>
    </rPh>
    <phoneticPr fontId="2"/>
  </si>
  <si>
    <t>電気</t>
    <rPh sb="0" eb="2">
      <t>デンキ</t>
    </rPh>
    <phoneticPr fontId="2"/>
  </si>
  <si>
    <t>鋼構造物</t>
    <rPh sb="0" eb="1">
      <t>コウ</t>
    </rPh>
    <rPh sb="1" eb="4">
      <t>コウゾウブツ</t>
    </rPh>
    <phoneticPr fontId="2"/>
  </si>
  <si>
    <t>鋼橋上部</t>
    <rPh sb="0" eb="1">
      <t>コウ</t>
    </rPh>
    <rPh sb="1" eb="2">
      <t>ハシ</t>
    </rPh>
    <rPh sb="2" eb="3">
      <t>ウエ</t>
    </rPh>
    <rPh sb="3" eb="4">
      <t>ブ</t>
    </rPh>
    <phoneticPr fontId="2"/>
  </si>
  <si>
    <t>鉄筋</t>
    <rPh sb="0" eb="2">
      <t>テッキン</t>
    </rPh>
    <phoneticPr fontId="2"/>
  </si>
  <si>
    <t>板金</t>
    <rPh sb="0" eb="2">
      <t>バンキン</t>
    </rPh>
    <phoneticPr fontId="2"/>
  </si>
  <si>
    <t>塗装</t>
    <rPh sb="0" eb="2">
      <t>トソウ</t>
    </rPh>
    <phoneticPr fontId="2"/>
  </si>
  <si>
    <t>防水</t>
    <rPh sb="0" eb="2">
      <t>ボウスイ</t>
    </rPh>
    <phoneticPr fontId="2"/>
  </si>
  <si>
    <t>機械器具装置</t>
    <rPh sb="0" eb="2">
      <t>キカイ</t>
    </rPh>
    <rPh sb="2" eb="4">
      <t>キグ</t>
    </rPh>
    <rPh sb="4" eb="6">
      <t>ソウチ</t>
    </rPh>
    <phoneticPr fontId="2"/>
  </si>
  <si>
    <t>造園</t>
    <rPh sb="0" eb="2">
      <t>ゾウエン</t>
    </rPh>
    <phoneticPr fontId="2"/>
  </si>
  <si>
    <t>さく井</t>
    <rPh sb="2" eb="3">
      <t>メグミ</t>
    </rPh>
    <phoneticPr fontId="2"/>
  </si>
  <si>
    <t>建具</t>
    <rPh sb="0" eb="2">
      <t>タテグ</t>
    </rPh>
    <phoneticPr fontId="2"/>
  </si>
  <si>
    <t>一級</t>
    <rPh sb="0" eb="2">
      <t>イッキュウ</t>
    </rPh>
    <phoneticPr fontId="2"/>
  </si>
  <si>
    <t>二級</t>
    <rPh sb="0" eb="1">
      <t>ニ</t>
    </rPh>
    <rPh sb="1" eb="2">
      <t>キュウ</t>
    </rPh>
    <phoneticPr fontId="2"/>
  </si>
  <si>
    <t>その他</t>
    <rPh sb="2" eb="3">
      <t>タ</t>
    </rPh>
    <phoneticPr fontId="2"/>
  </si>
  <si>
    <t>許可区分</t>
    <rPh sb="0" eb="2">
      <t>キョカ</t>
    </rPh>
    <rPh sb="2" eb="4">
      <t>クブン</t>
    </rPh>
    <phoneticPr fontId="2"/>
  </si>
  <si>
    <t>タイル・れんが・ブロック</t>
    <phoneticPr fontId="2"/>
  </si>
  <si>
    <t>点 数</t>
    <rPh sb="0" eb="1">
      <t>テン</t>
    </rPh>
    <rPh sb="2" eb="3">
      <t>カズ</t>
    </rPh>
    <phoneticPr fontId="2"/>
  </si>
  <si>
    <t>その他の審査項目（社会性等）</t>
    <rPh sb="2" eb="3">
      <t>タ</t>
    </rPh>
    <rPh sb="4" eb="6">
      <t>シンサ</t>
    </rPh>
    <rPh sb="6" eb="8">
      <t>コウモク</t>
    </rPh>
    <rPh sb="9" eb="12">
      <t>シャカイセイ</t>
    </rPh>
    <rPh sb="12" eb="13">
      <t>トウ</t>
    </rPh>
    <phoneticPr fontId="2"/>
  </si>
  <si>
    <t>　評　　　　　　　　　　　点</t>
    <rPh sb="1" eb="2">
      <t>ヒョウ</t>
    </rPh>
    <rPh sb="13" eb="14">
      <t>テン</t>
    </rPh>
    <phoneticPr fontId="2"/>
  </si>
  <si>
    <t>自己資本対固定資産比率</t>
    <rPh sb="0" eb="2">
      <t>ジコ</t>
    </rPh>
    <rPh sb="2" eb="4">
      <t>シホン</t>
    </rPh>
    <rPh sb="4" eb="5">
      <t>タイ</t>
    </rPh>
    <rPh sb="5" eb="9">
      <t>コテイシサン</t>
    </rPh>
    <rPh sb="9" eb="11">
      <t>ヒリツ</t>
    </rPh>
    <phoneticPr fontId="2"/>
  </si>
  <si>
    <t>売上高</t>
    <rPh sb="0" eb="3">
      <t>ウリアゲダカ</t>
    </rPh>
    <phoneticPr fontId="2"/>
  </si>
  <si>
    <t>総資本（当期）</t>
    <rPh sb="0" eb="3">
      <t>ソウシホン</t>
    </rPh>
    <rPh sb="4" eb="6">
      <t>トウキ</t>
    </rPh>
    <phoneticPr fontId="2"/>
  </si>
  <si>
    <t>総資本（前期）</t>
    <rPh sb="0" eb="3">
      <t>ソウシホン</t>
    </rPh>
    <rPh sb="4" eb="6">
      <t>ゼンキ</t>
    </rPh>
    <phoneticPr fontId="2"/>
  </si>
  <si>
    <t>（Ｗ）</t>
    <phoneticPr fontId="2"/>
  </si>
  <si>
    <t>経営規模等評価結果通知書</t>
    <rPh sb="0" eb="2">
      <t>ケイエイ</t>
    </rPh>
    <rPh sb="2" eb="4">
      <t>キボ</t>
    </rPh>
    <rPh sb="4" eb="5">
      <t>トウ</t>
    </rPh>
    <rPh sb="5" eb="7">
      <t>ヒョウカ</t>
    </rPh>
    <rPh sb="7" eb="9">
      <t>ケッカ</t>
    </rPh>
    <rPh sb="9" eb="12">
      <t>ツウチショ</t>
    </rPh>
    <phoneticPr fontId="2"/>
  </si>
  <si>
    <t>総合評定値通知書</t>
    <rPh sb="0" eb="2">
      <t>ソウゴウ</t>
    </rPh>
    <rPh sb="2" eb="4">
      <t>ヒョウテイ</t>
    </rPh>
    <rPh sb="4" eb="5">
      <t>チ</t>
    </rPh>
    <rPh sb="5" eb="8">
      <t>ツウチショ</t>
    </rPh>
    <phoneticPr fontId="2"/>
  </si>
  <si>
    <t>市区町村コード</t>
    <rPh sb="0" eb="4">
      <t>シクチョウソン</t>
    </rPh>
    <phoneticPr fontId="2"/>
  </si>
  <si>
    <t>完成工事高／売上高　(％)</t>
    <rPh sb="0" eb="5">
      <t>カンセイコウジダカ</t>
    </rPh>
    <rPh sb="6" eb="9">
      <t>ウリアゲダカ</t>
    </rPh>
    <phoneticPr fontId="2"/>
  </si>
  <si>
    <t>行政庁記入欄</t>
    <rPh sb="0" eb="3">
      <t>ギョウセイチョウ</t>
    </rPh>
    <rPh sb="3" eb="6">
      <t>キニュウラン</t>
    </rPh>
    <phoneticPr fontId="2"/>
  </si>
  <si>
    <t>殿</t>
    <rPh sb="0" eb="1">
      <t>ドノ</t>
    </rPh>
    <phoneticPr fontId="2"/>
  </si>
  <si>
    <t>を通知します。</t>
    <rPh sb="1" eb="3">
      <t>ツウチ</t>
    </rPh>
    <phoneticPr fontId="2"/>
  </si>
  <si>
    <t>[金額単位 ： 千円]</t>
    <rPh sb="1" eb="3">
      <t>キンガク</t>
    </rPh>
    <rPh sb="3" eb="5">
      <t>タンイ</t>
    </rPh>
    <rPh sb="8" eb="10">
      <t>センエン</t>
    </rPh>
    <phoneticPr fontId="2"/>
  </si>
  <si>
    <t>この色のセルは入力項目です</t>
    <rPh sb="2" eb="3">
      <t>イロ</t>
    </rPh>
    <rPh sb="7" eb="9">
      <t>ニュウリョク</t>
    </rPh>
    <rPh sb="9" eb="11">
      <t>コウモク</t>
    </rPh>
    <phoneticPr fontId="2"/>
  </si>
  <si>
    <t>この色のセルは自動計算です</t>
    <rPh sb="2" eb="3">
      <t>イロ</t>
    </rPh>
    <rPh sb="7" eb="9">
      <t>ジドウ</t>
    </rPh>
    <rPh sb="9" eb="11">
      <t>ケイサン</t>
    </rPh>
    <phoneticPr fontId="2"/>
  </si>
  <si>
    <t>1． 一般　2． 特定</t>
    <rPh sb="3" eb="5">
      <t>イッパン</t>
    </rPh>
    <rPh sb="9" eb="11">
      <t>トクテイ</t>
    </rPh>
    <phoneticPr fontId="2"/>
  </si>
  <si>
    <t>9．       　審査対象</t>
    <rPh sb="10" eb="12">
      <t>シンサ</t>
    </rPh>
    <rPh sb="12" eb="14">
      <t>タイショウ</t>
    </rPh>
    <phoneticPr fontId="2"/>
  </si>
  <si>
    <t>P</t>
    <phoneticPr fontId="2"/>
  </si>
  <si>
    <t>X1</t>
    <phoneticPr fontId="2"/>
  </si>
  <si>
    <t>Z</t>
    <phoneticPr fontId="2"/>
  </si>
  <si>
    <t>許可</t>
    <rPh sb="0" eb="2">
      <t>キョカ</t>
    </rPh>
    <phoneticPr fontId="2"/>
  </si>
  <si>
    <t>号</t>
    <rPh sb="0" eb="1">
      <t>ゴウ</t>
    </rPh>
    <phoneticPr fontId="2"/>
  </si>
  <si>
    <t>平成</t>
    <rPh sb="0" eb="2">
      <t>ヘイセイ</t>
    </rPh>
    <phoneticPr fontId="2"/>
  </si>
  <si>
    <t>日</t>
    <rPh sb="0" eb="1">
      <t>ヒ</t>
    </rPh>
    <phoneticPr fontId="2"/>
  </si>
  <si>
    <t>月</t>
    <rPh sb="0" eb="1">
      <t>ツキ</t>
    </rPh>
    <phoneticPr fontId="2"/>
  </si>
  <si>
    <t>製品版への変更には『パスワード』が必要です。</t>
  </si>
  <si>
    <t>製品版に変更することによって正しく算出されます。</t>
  </si>
  <si>
    <t>http://www.t-and-s-soft.gr.jp/</t>
    <phoneticPr fontId="2"/>
  </si>
  <si>
    <t>下の四角の中にパスワードを入力して、キーボードのEnterキーを押して下さい。</t>
    <rPh sb="0" eb="1">
      <t>シタ</t>
    </rPh>
    <rPh sb="2" eb="4">
      <t>シカク</t>
    </rPh>
    <rPh sb="5" eb="6">
      <t>ナカ</t>
    </rPh>
    <rPh sb="13" eb="15">
      <t>ニュウリョク</t>
    </rPh>
    <rPh sb="32" eb="33">
      <t>オ</t>
    </rPh>
    <rPh sb="35" eb="36">
      <t>クダ</t>
    </rPh>
    <phoneticPr fontId="2"/>
  </si>
  <si>
    <t>　　サンプル版、製品版の違い及びパスワードについて</t>
    <rPh sb="6" eb="7">
      <t>バン</t>
    </rPh>
    <rPh sb="8" eb="11">
      <t>セイヒンバン</t>
    </rPh>
    <rPh sb="12" eb="13">
      <t>チガ</t>
    </rPh>
    <rPh sb="14" eb="15">
      <t>オヨ</t>
    </rPh>
    <phoneticPr fontId="2"/>
  </si>
  <si>
    <t>　　製品版への変更方法について</t>
    <rPh sb="2" eb="5">
      <t>セイヒンバン</t>
    </rPh>
    <rPh sb="7" eb="9">
      <t>ヘンコウ</t>
    </rPh>
    <rPh sb="9" eb="11">
      <t>ホウホウ</t>
    </rPh>
    <phoneticPr fontId="2"/>
  </si>
  <si>
    <t>以上の操作で製品版へ変更完了です。（パスワードは大事に保管して下さい）</t>
    <rPh sb="0" eb="2">
      <t>イジョウ</t>
    </rPh>
    <rPh sb="3" eb="5">
      <t>ソウサ</t>
    </rPh>
    <rPh sb="6" eb="9">
      <t>セイヒンバン</t>
    </rPh>
    <rPh sb="10" eb="12">
      <t>ヘンコウ</t>
    </rPh>
    <rPh sb="12" eb="14">
      <t>カンリョウ</t>
    </rPh>
    <rPh sb="24" eb="26">
      <t>ダイジ</t>
    </rPh>
    <rPh sb="27" eb="29">
      <t>ホカン</t>
    </rPh>
    <rPh sb="31" eb="32">
      <t>クダ</t>
    </rPh>
    <phoneticPr fontId="2"/>
  </si>
  <si>
    <t>　※　入力したデータはそのまま使用できます。</t>
    <rPh sb="3" eb="5">
      <t>ニュウリョク</t>
    </rPh>
    <rPh sb="15" eb="17">
      <t>シヨウ</t>
    </rPh>
    <phoneticPr fontId="2"/>
  </si>
  <si>
    <t>　※　このシートは、製品版への変更後は使用しませんので、セキュリティーの関係上、開かない</t>
    <rPh sb="10" eb="12">
      <t>セイヒン</t>
    </rPh>
    <rPh sb="12" eb="13">
      <t>バン</t>
    </rPh>
    <rPh sb="15" eb="17">
      <t>ヘンコウ</t>
    </rPh>
    <rPh sb="17" eb="18">
      <t>ゴ</t>
    </rPh>
    <rPh sb="19" eb="21">
      <t>シヨウ</t>
    </rPh>
    <rPh sb="36" eb="39">
      <t>カンケイジョウ</t>
    </rPh>
    <rPh sb="40" eb="41">
      <t>ヒラ</t>
    </rPh>
    <phoneticPr fontId="2"/>
  </si>
  <si>
    <t xml:space="preserve">       ようにすることをお勧めします。</t>
    <rPh sb="16" eb="17">
      <t>スス</t>
    </rPh>
    <phoneticPr fontId="2"/>
  </si>
  <si>
    <t>最低点</t>
    <rPh sb="0" eb="3">
      <t>サイテイテン</t>
    </rPh>
    <phoneticPr fontId="2"/>
  </si>
  <si>
    <t>年間平均元請完成工事高</t>
    <rPh sb="0" eb="2">
      <t>ネンカン</t>
    </rPh>
    <rPh sb="2" eb="4">
      <t>ヘイキン</t>
    </rPh>
    <rPh sb="4" eb="6">
      <t>モトウ</t>
    </rPh>
    <rPh sb="6" eb="11">
      <t>カンセイコウジダカ</t>
    </rPh>
    <phoneticPr fontId="2"/>
  </si>
  <si>
    <t>年間平均元請完成工事高</t>
    <rPh sb="0" eb="2">
      <t>ネンカン</t>
    </rPh>
    <rPh sb="2" eb="4">
      <t>ヘイキン</t>
    </rPh>
    <rPh sb="4" eb="6">
      <t>モトウ</t>
    </rPh>
    <rPh sb="6" eb="8">
      <t>カンセイ</t>
    </rPh>
    <rPh sb="8" eb="10">
      <t>コウジ</t>
    </rPh>
    <rPh sb="10" eb="11">
      <t>ダカ</t>
    </rPh>
    <phoneticPr fontId="2"/>
  </si>
  <si>
    <t>評点Z2</t>
    <rPh sb="0" eb="2">
      <t>ヒョウテン</t>
    </rPh>
    <phoneticPr fontId="2"/>
  </si>
  <si>
    <t>元請完成工事高（Z2）</t>
    <rPh sb="0" eb="2">
      <t>モトウ</t>
    </rPh>
    <rPh sb="2" eb="7">
      <t>カンセイコウジダカ</t>
    </rPh>
    <phoneticPr fontId="2"/>
  </si>
  <si>
    <t>講習受講</t>
    <rPh sb="0" eb="2">
      <t>コウシュウ</t>
    </rPh>
    <rPh sb="2" eb="4">
      <t>ジュコウ</t>
    </rPh>
    <phoneticPr fontId="2"/>
  </si>
  <si>
    <t>基幹</t>
    <rPh sb="0" eb="2">
      <t>キカン</t>
    </rPh>
    <phoneticPr fontId="2"/>
  </si>
  <si>
    <t>二級</t>
    <rPh sb="0" eb="1">
      <t>ニ</t>
    </rPh>
    <phoneticPr fontId="2"/>
  </si>
  <si>
    <t>技術職員数</t>
    <rPh sb="0" eb="2">
      <t>ギジュツ</t>
    </rPh>
    <rPh sb="2" eb="5">
      <t>ショクインスウ</t>
    </rPh>
    <phoneticPr fontId="2"/>
  </si>
  <si>
    <t>点数の合計</t>
    <rPh sb="0" eb="2">
      <t>テンスウ</t>
    </rPh>
    <rPh sb="3" eb="5">
      <t>ゴウケイ</t>
    </rPh>
    <phoneticPr fontId="2"/>
  </si>
  <si>
    <t>技術職員数（Z1）</t>
    <rPh sb="0" eb="2">
      <t>ギジュツ</t>
    </rPh>
    <rPh sb="2" eb="5">
      <t>ショクインスウ</t>
    </rPh>
    <phoneticPr fontId="2"/>
  </si>
  <si>
    <t>人数差</t>
    <rPh sb="0" eb="2">
      <t>ニンズウ</t>
    </rPh>
    <rPh sb="2" eb="3">
      <t>サ</t>
    </rPh>
    <phoneticPr fontId="2"/>
  </si>
  <si>
    <t>流動負債</t>
    <rPh sb="0" eb="2">
      <t>リュウドウ</t>
    </rPh>
    <rPh sb="2" eb="4">
      <t>フサイ</t>
    </rPh>
    <phoneticPr fontId="2"/>
  </si>
  <si>
    <t>売上総利益</t>
    <rPh sb="0" eb="2">
      <t>ウリアゲ</t>
    </rPh>
    <rPh sb="2" eb="5">
      <t>ソウリエキ</t>
    </rPh>
    <phoneticPr fontId="2"/>
  </si>
  <si>
    <t>法人税、住民税及び事業税</t>
    <rPh sb="0" eb="3">
      <t>ホウジンゼイ</t>
    </rPh>
    <rPh sb="4" eb="7">
      <t>ジュウミンゼイ</t>
    </rPh>
    <rPh sb="7" eb="8">
      <t>オヨ</t>
    </rPh>
    <rPh sb="9" eb="12">
      <t>ジギョウゼイ</t>
    </rPh>
    <phoneticPr fontId="2"/>
  </si>
  <si>
    <t>材料貯蔵品</t>
    <rPh sb="0" eb="2">
      <t>ザイリョウ</t>
    </rPh>
    <rPh sb="2" eb="5">
      <t>チョゾウヒン</t>
    </rPh>
    <phoneticPr fontId="2"/>
  </si>
  <si>
    <t>利益剰余金</t>
    <rPh sb="0" eb="2">
      <t>リエキ</t>
    </rPh>
    <rPh sb="2" eb="5">
      <t>ジョウヨキン</t>
    </rPh>
    <phoneticPr fontId="2"/>
  </si>
  <si>
    <t>資本金額又は出資総額</t>
    <rPh sb="0" eb="2">
      <t>シホン</t>
    </rPh>
    <rPh sb="2" eb="4">
      <t>キンガク</t>
    </rPh>
    <rPh sb="4" eb="5">
      <t>マタ</t>
    </rPh>
    <rPh sb="6" eb="8">
      <t>シュッシ</t>
    </rPh>
    <rPh sb="8" eb="10">
      <t>ソウガク</t>
    </rPh>
    <phoneticPr fontId="2"/>
  </si>
  <si>
    <t>（千円）</t>
    <rPh sb="1" eb="3">
      <t>センエン</t>
    </rPh>
    <phoneticPr fontId="2"/>
  </si>
  <si>
    <t>負債回転期間</t>
    <rPh sb="0" eb="2">
      <t>フサイ</t>
    </rPh>
    <rPh sb="2" eb="4">
      <t>カイテン</t>
    </rPh>
    <rPh sb="4" eb="6">
      <t>キカン</t>
    </rPh>
    <phoneticPr fontId="2"/>
  </si>
  <si>
    <t>売上高経常利益率</t>
    <rPh sb="0" eb="3">
      <t>ウリアゲダカ</t>
    </rPh>
    <rPh sb="3" eb="5">
      <t>ケイジョウ</t>
    </rPh>
    <rPh sb="5" eb="8">
      <t>リエキリツ</t>
    </rPh>
    <phoneticPr fontId="2"/>
  </si>
  <si>
    <t>営業キャッシュフロー</t>
    <rPh sb="0" eb="2">
      <t>エイギョウ</t>
    </rPh>
    <phoneticPr fontId="2"/>
  </si>
  <si>
    <t>総資本売上総利益率</t>
    <rPh sb="0" eb="3">
      <t>ソウシホン</t>
    </rPh>
    <rPh sb="3" eb="5">
      <t>ウリアゲ</t>
    </rPh>
    <rPh sb="5" eb="8">
      <t>ソウリエキ</t>
    </rPh>
    <rPh sb="8" eb="9">
      <t>リツ</t>
    </rPh>
    <phoneticPr fontId="2"/>
  </si>
  <si>
    <t>経常（事業主）利益</t>
    <rPh sb="0" eb="2">
      <t>ケイジョウ</t>
    </rPh>
    <rPh sb="3" eb="6">
      <t>ジギョウヌシ</t>
    </rPh>
    <rPh sb="7" eb="9">
      <t>リエキ</t>
    </rPh>
    <phoneticPr fontId="2"/>
  </si>
  <si>
    <t>営業キャッシュフロー(当期)</t>
    <rPh sb="0" eb="2">
      <t>エイギョウ</t>
    </rPh>
    <rPh sb="11" eb="13">
      <t>トウキ</t>
    </rPh>
    <phoneticPr fontId="2"/>
  </si>
  <si>
    <t>営業キャッシュフロー(前期)</t>
    <rPh sb="0" eb="2">
      <t>エイギョウ</t>
    </rPh>
    <rPh sb="11" eb="13">
      <t>ゼンキ</t>
    </rPh>
    <phoneticPr fontId="2"/>
  </si>
  <si>
    <t>純支払利息</t>
    <rPh sb="0" eb="1">
      <t>ジュン</t>
    </rPh>
    <rPh sb="1" eb="3">
      <t>シハラ</t>
    </rPh>
    <rPh sb="3" eb="5">
      <t>リソク</t>
    </rPh>
    <phoneticPr fontId="2"/>
  </si>
  <si>
    <t>端数処理</t>
    <rPh sb="0" eb="2">
      <t>ハスウ</t>
    </rPh>
    <rPh sb="2" eb="4">
      <t>ショリ</t>
    </rPh>
    <phoneticPr fontId="2"/>
  </si>
  <si>
    <t>固定資産</t>
    <rPh sb="0" eb="2">
      <t>コテイ</t>
    </rPh>
    <rPh sb="2" eb="4">
      <t>シサン</t>
    </rPh>
    <phoneticPr fontId="2"/>
  </si>
  <si>
    <t>負債合計</t>
    <rPh sb="0" eb="2">
      <t>フサイ</t>
    </rPh>
    <rPh sb="2" eb="4">
      <t>ゴウケイ</t>
    </rPh>
    <phoneticPr fontId="2"/>
  </si>
  <si>
    <t>2期平均総資本</t>
    <rPh sb="1" eb="2">
      <t>キ</t>
    </rPh>
    <rPh sb="2" eb="4">
      <t>ヘイキン</t>
    </rPh>
    <rPh sb="4" eb="7">
      <t>ソウシホン</t>
    </rPh>
    <phoneticPr fontId="2"/>
  </si>
  <si>
    <t>2期平均総資本補正額</t>
    <rPh sb="1" eb="2">
      <t>キ</t>
    </rPh>
    <rPh sb="2" eb="4">
      <t>ヘイキン</t>
    </rPh>
    <rPh sb="4" eb="7">
      <t>ソウシホン</t>
    </rPh>
    <rPh sb="7" eb="9">
      <t>ホセイ</t>
    </rPh>
    <rPh sb="9" eb="10">
      <t>ガク</t>
    </rPh>
    <phoneticPr fontId="2"/>
  </si>
  <si>
    <t>2期平均自己資本補正額</t>
    <rPh sb="1" eb="2">
      <t>キ</t>
    </rPh>
    <rPh sb="2" eb="4">
      <t>ヘイキン</t>
    </rPh>
    <rPh sb="4" eb="6">
      <t>ジコ</t>
    </rPh>
    <rPh sb="6" eb="8">
      <t>シホン</t>
    </rPh>
    <rPh sb="8" eb="11">
      <t>ホセイガク</t>
    </rPh>
    <phoneticPr fontId="2"/>
  </si>
  <si>
    <t>2期平均額</t>
    <rPh sb="1" eb="2">
      <t>キ</t>
    </rPh>
    <rPh sb="2" eb="5">
      <t>ヘイキンガク</t>
    </rPh>
    <phoneticPr fontId="2"/>
  </si>
  <si>
    <t>前期</t>
    <rPh sb="0" eb="2">
      <t>ゼンキ</t>
    </rPh>
    <phoneticPr fontId="2"/>
  </si>
  <si>
    <t>X2</t>
  </si>
  <si>
    <t>X3</t>
  </si>
  <si>
    <t>X4</t>
  </si>
  <si>
    <t>X5</t>
  </si>
  <si>
    <t>X6</t>
  </si>
  <si>
    <t>X7</t>
  </si>
  <si>
    <t>X8</t>
  </si>
  <si>
    <t>経営状況点数(A)</t>
    <rPh sb="0" eb="2">
      <t>ケイエイ</t>
    </rPh>
    <rPh sb="2" eb="4">
      <t>ジョウキョウ</t>
    </rPh>
    <rPh sb="4" eb="6">
      <t>テンスウ</t>
    </rPh>
    <phoneticPr fontId="2"/>
  </si>
  <si>
    <t>減価償却実施額</t>
    <rPh sb="0" eb="2">
      <t>ゲンカ</t>
    </rPh>
    <rPh sb="2" eb="4">
      <t>ショウキャク</t>
    </rPh>
    <rPh sb="4" eb="6">
      <t>ジッシ</t>
    </rPh>
    <rPh sb="6" eb="7">
      <t>ガク</t>
    </rPh>
    <phoneticPr fontId="2"/>
  </si>
  <si>
    <t>平均利益額</t>
    <rPh sb="0" eb="2">
      <t>ヘイキン</t>
    </rPh>
    <rPh sb="2" eb="5">
      <t>リエキガク</t>
    </rPh>
    <phoneticPr fontId="2"/>
  </si>
  <si>
    <t>退職一時金制度若しくは企業年金制度導入の有無</t>
    <rPh sb="0" eb="2">
      <t>タイショク</t>
    </rPh>
    <rPh sb="2" eb="5">
      <t>イチジキン</t>
    </rPh>
    <rPh sb="5" eb="7">
      <t>セイド</t>
    </rPh>
    <rPh sb="7" eb="8">
      <t>モ</t>
    </rPh>
    <rPh sb="11" eb="13">
      <t>キギョウ</t>
    </rPh>
    <rPh sb="13" eb="15">
      <t>ネンキン</t>
    </rPh>
    <rPh sb="15" eb="17">
      <t>セイド</t>
    </rPh>
    <rPh sb="17" eb="19">
      <t>ドウニュウ</t>
    </rPh>
    <rPh sb="20" eb="22">
      <t>ウム</t>
    </rPh>
    <phoneticPr fontId="2"/>
  </si>
  <si>
    <t>防災活動への貢献の状況</t>
    <rPh sb="0" eb="2">
      <t>ボウサイ</t>
    </rPh>
    <rPh sb="2" eb="4">
      <t>カツドウ</t>
    </rPh>
    <rPh sb="6" eb="8">
      <t>コウケン</t>
    </rPh>
    <rPh sb="9" eb="11">
      <t>ジョウキョウ</t>
    </rPh>
    <phoneticPr fontId="2"/>
  </si>
  <si>
    <t>法令遵守の状況</t>
    <rPh sb="0" eb="2">
      <t>ホウレイ</t>
    </rPh>
    <rPh sb="2" eb="4">
      <t>ジュンシュ</t>
    </rPh>
    <rPh sb="5" eb="7">
      <t>ジョウキョウ</t>
    </rPh>
    <phoneticPr fontId="2"/>
  </si>
  <si>
    <t>監査の受審状況</t>
    <rPh sb="0" eb="2">
      <t>カンサ</t>
    </rPh>
    <rPh sb="3" eb="5">
      <t>ジュシン</t>
    </rPh>
    <rPh sb="5" eb="7">
      <t>ジョウキョウ</t>
    </rPh>
    <phoneticPr fontId="2"/>
  </si>
  <si>
    <t>公認会計士等の数</t>
    <rPh sb="0" eb="2">
      <t>コウニン</t>
    </rPh>
    <rPh sb="2" eb="5">
      <t>カイケイシ</t>
    </rPh>
    <rPh sb="5" eb="6">
      <t>トウ</t>
    </rPh>
    <rPh sb="7" eb="8">
      <t>カズ</t>
    </rPh>
    <phoneticPr fontId="2"/>
  </si>
  <si>
    <t>二級登録経理試験合格者の数</t>
    <rPh sb="0" eb="1">
      <t>ニ</t>
    </rPh>
    <rPh sb="1" eb="2">
      <t>キュウ</t>
    </rPh>
    <rPh sb="2" eb="4">
      <t>トウロク</t>
    </rPh>
    <rPh sb="4" eb="6">
      <t>ケイリ</t>
    </rPh>
    <rPh sb="6" eb="8">
      <t>シケン</t>
    </rPh>
    <rPh sb="8" eb="11">
      <t>ゴウカクシャ</t>
    </rPh>
    <rPh sb="12" eb="13">
      <t>カズ</t>
    </rPh>
    <phoneticPr fontId="2"/>
  </si>
  <si>
    <t>建設業の経理の状況</t>
    <rPh sb="0" eb="3">
      <t>ケンセツギョウ</t>
    </rPh>
    <rPh sb="4" eb="6">
      <t>ケイリ</t>
    </rPh>
    <rPh sb="7" eb="9">
      <t>ジョウキョウ</t>
    </rPh>
    <phoneticPr fontId="2"/>
  </si>
  <si>
    <t>研究開発費</t>
    <rPh sb="0" eb="2">
      <t>ケンキュウ</t>
    </rPh>
    <rPh sb="2" eb="5">
      <t>カイハツヒ</t>
    </rPh>
    <phoneticPr fontId="2"/>
  </si>
  <si>
    <t>研究開発の状況</t>
    <rPh sb="0" eb="2">
      <t>ケンキュウ</t>
    </rPh>
    <rPh sb="2" eb="4">
      <t>カイハツ</t>
    </rPh>
    <rPh sb="5" eb="7">
      <t>ジョウキョウ</t>
    </rPh>
    <phoneticPr fontId="2"/>
  </si>
  <si>
    <t>無</t>
    <rPh sb="0" eb="1">
      <t>ナ</t>
    </rPh>
    <phoneticPr fontId="2"/>
  </si>
  <si>
    <t>有</t>
    <rPh sb="0" eb="1">
      <t>ア</t>
    </rPh>
    <phoneticPr fontId="2"/>
  </si>
  <si>
    <t>適用除外</t>
    <rPh sb="0" eb="2">
      <t>テキヨウ</t>
    </rPh>
    <rPh sb="2" eb="4">
      <t>ジョガイ</t>
    </rPh>
    <phoneticPr fontId="2"/>
  </si>
  <si>
    <t>会計監査人の設置</t>
    <rPh sb="0" eb="2">
      <t>カイケイ</t>
    </rPh>
    <rPh sb="2" eb="5">
      <t>カンサニン</t>
    </rPh>
    <rPh sb="6" eb="8">
      <t>セッチ</t>
    </rPh>
    <phoneticPr fontId="2"/>
  </si>
  <si>
    <t>会計参与の設置</t>
    <rPh sb="0" eb="2">
      <t>カイケイ</t>
    </rPh>
    <rPh sb="2" eb="4">
      <t>サンヨ</t>
    </rPh>
    <rPh sb="5" eb="7">
      <t>セッチ</t>
    </rPh>
    <phoneticPr fontId="2"/>
  </si>
  <si>
    <t>防災協定締結の有無</t>
    <rPh sb="0" eb="2">
      <t>ボウサイ</t>
    </rPh>
    <rPh sb="2" eb="4">
      <t>キョウテイ</t>
    </rPh>
    <rPh sb="4" eb="6">
      <t>テイケツ</t>
    </rPh>
    <rPh sb="7" eb="9">
      <t>ウム</t>
    </rPh>
    <phoneticPr fontId="2"/>
  </si>
  <si>
    <t>営業停止処分の有無</t>
    <rPh sb="0" eb="2">
      <t>エイギョウ</t>
    </rPh>
    <rPh sb="2" eb="4">
      <t>テイシ</t>
    </rPh>
    <rPh sb="4" eb="6">
      <t>ショブン</t>
    </rPh>
    <rPh sb="7" eb="9">
      <t>ウム</t>
    </rPh>
    <phoneticPr fontId="2"/>
  </si>
  <si>
    <t>指示処分の有無</t>
    <rPh sb="0" eb="2">
      <t>シジ</t>
    </rPh>
    <rPh sb="2" eb="4">
      <t>ショブン</t>
    </rPh>
    <rPh sb="5" eb="7">
      <t>ウム</t>
    </rPh>
    <phoneticPr fontId="2"/>
  </si>
  <si>
    <t>人</t>
    <rPh sb="0" eb="1">
      <t>ニン</t>
    </rPh>
    <phoneticPr fontId="2"/>
  </si>
  <si>
    <t>審査対象事業年度</t>
    <rPh sb="0" eb="2">
      <t>シンサ</t>
    </rPh>
    <rPh sb="2" eb="4">
      <t>タイショウ</t>
    </rPh>
    <rPh sb="4" eb="6">
      <t>ジギョウ</t>
    </rPh>
    <rPh sb="6" eb="8">
      <t>ネンド</t>
    </rPh>
    <phoneticPr fontId="2"/>
  </si>
  <si>
    <t>審査対象事業年度の前審査対象事業年度</t>
    <rPh sb="0" eb="2">
      <t>シンサ</t>
    </rPh>
    <rPh sb="2" eb="4">
      <t>タイショウ</t>
    </rPh>
    <rPh sb="4" eb="6">
      <t>ジギョウ</t>
    </rPh>
    <rPh sb="6" eb="8">
      <t>ネンド</t>
    </rPh>
    <rPh sb="9" eb="10">
      <t>マエ</t>
    </rPh>
    <rPh sb="10" eb="12">
      <t>シンサ</t>
    </rPh>
    <rPh sb="12" eb="14">
      <t>タイショウ</t>
    </rPh>
    <rPh sb="14" eb="16">
      <t>ジギョウ</t>
    </rPh>
    <rPh sb="16" eb="18">
      <t>ネンド</t>
    </rPh>
    <phoneticPr fontId="2"/>
  </si>
  <si>
    <t>千円</t>
    <rPh sb="0" eb="2">
      <t>センエン</t>
    </rPh>
    <phoneticPr fontId="2"/>
  </si>
  <si>
    <t>その他の審査項目（社会性等）</t>
    <rPh sb="0" eb="3">
      <t>ソノタ</t>
    </rPh>
    <rPh sb="4" eb="6">
      <t>シンサ</t>
    </rPh>
    <rPh sb="6" eb="8">
      <t>コウモク</t>
    </rPh>
    <rPh sb="9" eb="11">
      <t>シャカイ</t>
    </rPh>
    <rPh sb="11" eb="12">
      <t>セイ</t>
    </rPh>
    <rPh sb="12" eb="13">
      <t>トウ</t>
    </rPh>
    <phoneticPr fontId="2"/>
  </si>
  <si>
    <t>経理処理適正確認した旨の書類の提出</t>
    <rPh sb="0" eb="2">
      <t>ケイリ</t>
    </rPh>
    <rPh sb="2" eb="4">
      <t>ショリ</t>
    </rPh>
    <rPh sb="4" eb="6">
      <t>テキセイ</t>
    </rPh>
    <rPh sb="6" eb="8">
      <t>カクニン</t>
    </rPh>
    <rPh sb="10" eb="11">
      <t>ムネ</t>
    </rPh>
    <rPh sb="12" eb="14">
      <t>ショルイ</t>
    </rPh>
    <rPh sb="15" eb="17">
      <t>テイシュツ</t>
    </rPh>
    <phoneticPr fontId="2"/>
  </si>
  <si>
    <t>完成工事高－元請完成工事高</t>
    <rPh sb="0" eb="5">
      <t>カンセイコウジダカ</t>
    </rPh>
    <rPh sb="6" eb="8">
      <t>モトウ</t>
    </rPh>
    <rPh sb="8" eb="13">
      <t>カンセイコウジダカ</t>
    </rPh>
    <phoneticPr fontId="2"/>
  </si>
  <si>
    <t>選択完成工事高</t>
    <rPh sb="0" eb="2">
      <t>センタク</t>
    </rPh>
    <rPh sb="2" eb="7">
      <t>カンセイコウジダカ</t>
    </rPh>
    <phoneticPr fontId="2"/>
  </si>
  <si>
    <t>建 設 工 事 の 種 類</t>
    <rPh sb="0" eb="1">
      <t>ケン</t>
    </rPh>
    <rPh sb="2" eb="3">
      <t>セツ</t>
    </rPh>
    <rPh sb="4" eb="5">
      <t>コウ</t>
    </rPh>
    <rPh sb="6" eb="7">
      <t>コト</t>
    </rPh>
    <rPh sb="10" eb="11">
      <t>タネ</t>
    </rPh>
    <rPh sb="12" eb="13">
      <t>タグイ</t>
    </rPh>
    <phoneticPr fontId="2"/>
  </si>
  <si>
    <t>元請完成工事高及び技術職員数</t>
    <rPh sb="0" eb="2">
      <t>モトウケ</t>
    </rPh>
    <rPh sb="2" eb="7">
      <t>カンセイコウジダカ</t>
    </rPh>
    <rPh sb="7" eb="8">
      <t>オヨ</t>
    </rPh>
    <rPh sb="9" eb="11">
      <t>ギジュツ</t>
    </rPh>
    <rPh sb="11" eb="14">
      <t>ショクインスウ</t>
    </rPh>
    <phoneticPr fontId="2"/>
  </si>
  <si>
    <t>元請完成工事高</t>
    <rPh sb="0" eb="2">
      <t>モトウケ</t>
    </rPh>
    <rPh sb="2" eb="7">
      <t>カンセイコウジダカ</t>
    </rPh>
    <phoneticPr fontId="2"/>
  </si>
  <si>
    <t>-</t>
    <phoneticPr fontId="2"/>
  </si>
  <si>
    <t>00-000000</t>
    <phoneticPr fontId="2"/>
  </si>
  <si>
    <t>（Ｘ２）</t>
    <phoneticPr fontId="2"/>
  </si>
  <si>
    <t>自己資本額及び利益額</t>
    <rPh sb="0" eb="2">
      <t>ジコ</t>
    </rPh>
    <rPh sb="2" eb="5">
      <t>シホンガク</t>
    </rPh>
    <rPh sb="5" eb="6">
      <t>オヨ</t>
    </rPh>
    <rPh sb="7" eb="9">
      <t>リエキ</t>
    </rPh>
    <rPh sb="9" eb="10">
      <t>ガク</t>
    </rPh>
    <phoneticPr fontId="2"/>
  </si>
  <si>
    <t>利益額</t>
    <rPh sb="0" eb="3">
      <t>リエキガク</t>
    </rPh>
    <phoneticPr fontId="2"/>
  </si>
  <si>
    <t>数　　値</t>
    <rPh sb="0" eb="1">
      <t>カズ</t>
    </rPh>
    <rPh sb="3" eb="4">
      <t>アタイ</t>
    </rPh>
    <phoneticPr fontId="2"/>
  </si>
  <si>
    <t>数　値　等</t>
    <rPh sb="0" eb="1">
      <t>カズ</t>
    </rPh>
    <rPh sb="2" eb="3">
      <t>アタイ</t>
    </rPh>
    <rPh sb="4" eb="5">
      <t>トウ</t>
    </rPh>
    <phoneticPr fontId="2"/>
  </si>
  <si>
    <t>建設業経理の状況</t>
    <rPh sb="0" eb="3">
      <t>ケンセツギョウ</t>
    </rPh>
    <rPh sb="3" eb="5">
      <t>ケイリ</t>
    </rPh>
    <rPh sb="6" eb="8">
      <t>ジョウキョウ</t>
    </rPh>
    <phoneticPr fontId="2"/>
  </si>
  <si>
    <t>経営状況</t>
    <rPh sb="0" eb="2">
      <t>ケイエイ</t>
    </rPh>
    <rPh sb="2" eb="4">
      <t>ジョウキョウ</t>
    </rPh>
    <phoneticPr fontId="2"/>
  </si>
  <si>
    <t>売上高経常利益率</t>
    <rPh sb="0" eb="3">
      <t>ウリアゲダカ</t>
    </rPh>
    <rPh sb="3" eb="5">
      <t>ケイジョウ</t>
    </rPh>
    <rPh sb="5" eb="7">
      <t>リエキ</t>
    </rPh>
    <rPh sb="7" eb="8">
      <t>リツ</t>
    </rPh>
    <phoneticPr fontId="2"/>
  </si>
  <si>
    <t>科目</t>
    <rPh sb="0" eb="2">
      <t>カモク</t>
    </rPh>
    <phoneticPr fontId="2"/>
  </si>
  <si>
    <t>資本金額</t>
    <rPh sb="0" eb="3">
      <t>シホンキン</t>
    </rPh>
    <rPh sb="3" eb="4">
      <t>ガク</t>
    </rPh>
    <phoneticPr fontId="2"/>
  </si>
  <si>
    <t>経営規模等評価の結果</t>
  </si>
  <si>
    <t>印</t>
    <rPh sb="0" eb="1">
      <t>イン</t>
    </rPh>
    <phoneticPr fontId="2"/>
  </si>
  <si>
    <t>〒</t>
    <phoneticPr fontId="2"/>
  </si>
  <si>
    <t>（Ｘ１）</t>
    <phoneticPr fontId="2"/>
  </si>
  <si>
    <t>（Ｚ）</t>
    <phoneticPr fontId="2"/>
  </si>
  <si>
    <t>営業ｷｬｯｼｭﾌﾛｰ(当期)</t>
    <rPh sb="0" eb="2">
      <t>エイギョウ</t>
    </rPh>
    <rPh sb="11" eb="13">
      <t>トウキ</t>
    </rPh>
    <phoneticPr fontId="2"/>
  </si>
  <si>
    <t>営業ｷｬｯｼｭﾌﾛｰ(前期)</t>
    <rPh sb="0" eb="2">
      <t>エイギョウ</t>
    </rPh>
    <rPh sb="11" eb="13">
      <t>ゼンキ</t>
    </rPh>
    <phoneticPr fontId="2"/>
  </si>
  <si>
    <t>(講習受講)</t>
    <rPh sb="1" eb="3">
      <t>コウシュウ</t>
    </rPh>
    <rPh sb="3" eb="5">
      <t>ジュコウ</t>
    </rPh>
    <phoneticPr fontId="2"/>
  </si>
  <si>
    <t>合　　　　　　　　　計</t>
    <rPh sb="0" eb="1">
      <t>ゴウ</t>
    </rPh>
    <rPh sb="10" eb="11">
      <t>ケイ</t>
    </rPh>
    <phoneticPr fontId="2"/>
  </si>
  <si>
    <t>防災協定の締結の有無</t>
    <rPh sb="0" eb="2">
      <t>ボウサイ</t>
    </rPh>
    <rPh sb="2" eb="4">
      <t>キョウテイ</t>
    </rPh>
    <rPh sb="5" eb="7">
      <t>テイケツ</t>
    </rPh>
    <rPh sb="8" eb="10">
      <t>ウム</t>
    </rPh>
    <phoneticPr fontId="2"/>
  </si>
  <si>
    <t>（参　考）</t>
    <rPh sb="1" eb="2">
      <t>サン</t>
    </rPh>
    <rPh sb="3" eb="4">
      <t>コウ</t>
    </rPh>
    <phoneticPr fontId="2"/>
  </si>
  <si>
    <t>総合評定値</t>
    <rPh sb="0" eb="2">
      <t>ソウゴウ</t>
    </rPh>
    <rPh sb="2" eb="4">
      <t>ヒョウテイ</t>
    </rPh>
    <rPh sb="4" eb="5">
      <t>アタイ</t>
    </rPh>
    <phoneticPr fontId="2"/>
  </si>
  <si>
    <t>審査対象事業年度売上高</t>
    <rPh sb="0" eb="2">
      <t>シンサ</t>
    </rPh>
    <rPh sb="2" eb="4">
      <t>タイショウ</t>
    </rPh>
    <rPh sb="4" eb="6">
      <t>ジギョウ</t>
    </rPh>
    <rPh sb="6" eb="8">
      <t>ネンド</t>
    </rPh>
    <rPh sb="8" eb="11">
      <t>ウリアゲダカ</t>
    </rPh>
    <phoneticPr fontId="2"/>
  </si>
  <si>
    <t>法人</t>
    <rPh sb="0" eb="2">
      <t>ホウジン</t>
    </rPh>
    <phoneticPr fontId="2"/>
  </si>
  <si>
    <t>個人</t>
    <rPh sb="0" eb="2">
      <t>コジン</t>
    </rPh>
    <phoneticPr fontId="2"/>
  </si>
  <si>
    <t>日</t>
    <rPh sb="0" eb="1">
      <t>ニチ</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</si>
  <si>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</si>
  <si>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</si>
  <si>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</si>
  <si>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</si>
  <si>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</si>
  <si>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</si>
  <si>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</si>
  <si>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</si>
  <si>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</si>
  <si>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</si>
  <si>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</si>
  <si>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</si>
  <si>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</si>
  <si>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</si>
  <si>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</si>
  <si>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</si>
  <si>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</si>
  <si>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</si>
  <si>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</si>
  <si>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</si>
  <si>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</si>
  <si>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</si>
  <si>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</si>
  <si>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</si>
  <si>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</si>
  <si>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</si>
  <si>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</si>
  <si>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</si>
  <si>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</si>
  <si>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</si>
  <si>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</si>
  <si>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</si>
  <si>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</si>
  <si>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</si>
  <si>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</si>
  <si>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</si>
  <si>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</si>
  <si>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</si>
  <si>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</si>
  <si>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</si>
  <si>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</si>
  <si>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</si>
  <si>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</si>
  <si>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</si>
  <si>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</si>
  <si>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</si>
  <si>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</si>
  <si>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国土交通大臣許可</t>
    <rPh sb="0" eb="2">
      <t>コクド</t>
    </rPh>
    <rPh sb="2" eb="4">
      <t>コウツウ</t>
    </rPh>
    <rPh sb="4" eb="6">
      <t>ダイジン</t>
    </rPh>
    <rPh sb="6" eb="8">
      <t>キョカ</t>
    </rPh>
    <phoneticPr fontId="2"/>
  </si>
  <si>
    <t>北海道知事許可</t>
    <rPh sb="0" eb="3">
      <t>ホッカイドウ</t>
    </rPh>
    <rPh sb="3" eb="5">
      <t>チジ</t>
    </rPh>
    <rPh sb="5" eb="7">
      <t>キョカ</t>
    </rPh>
    <phoneticPr fontId="2"/>
  </si>
  <si>
    <t>青森県知事許可</t>
    <rPh sb="0" eb="2">
      <t>アオモリ</t>
    </rPh>
    <rPh sb="2" eb="5">
      <t>ケンチジ</t>
    </rPh>
    <rPh sb="5" eb="7">
      <t>キョカ</t>
    </rPh>
    <phoneticPr fontId="2"/>
  </si>
  <si>
    <t>岩手県知事許可</t>
    <rPh sb="0" eb="2">
      <t>イワテ</t>
    </rPh>
    <rPh sb="2" eb="5">
      <t>ケンチジ</t>
    </rPh>
    <rPh sb="5" eb="7">
      <t>キョカ</t>
    </rPh>
    <phoneticPr fontId="2"/>
  </si>
  <si>
    <t>宮城県知事許可</t>
    <rPh sb="0" eb="2">
      <t>ミヤギ</t>
    </rPh>
    <rPh sb="2" eb="5">
      <t>ケンチジ</t>
    </rPh>
    <rPh sb="5" eb="7">
      <t>キョカ</t>
    </rPh>
    <phoneticPr fontId="2"/>
  </si>
  <si>
    <t>秋田県知事許可</t>
    <rPh sb="0" eb="2">
      <t>アキタ</t>
    </rPh>
    <rPh sb="2" eb="5">
      <t>ケンチジ</t>
    </rPh>
    <rPh sb="5" eb="7">
      <t>キョカ</t>
    </rPh>
    <phoneticPr fontId="2"/>
  </si>
  <si>
    <t>山形県知事許可</t>
    <rPh sb="0" eb="2">
      <t>ヤマガタ</t>
    </rPh>
    <rPh sb="2" eb="5">
      <t>ケンチジ</t>
    </rPh>
    <rPh sb="5" eb="7">
      <t>キョカ</t>
    </rPh>
    <phoneticPr fontId="2"/>
  </si>
  <si>
    <t>福島県知事許可</t>
    <rPh sb="0" eb="2">
      <t>フクシマ</t>
    </rPh>
    <rPh sb="2" eb="5">
      <t>ケンチジ</t>
    </rPh>
    <rPh sb="5" eb="7">
      <t>キョカ</t>
    </rPh>
    <phoneticPr fontId="2"/>
  </si>
  <si>
    <t>茨城県知事許可</t>
    <rPh sb="0" eb="2">
      <t>イバラギ</t>
    </rPh>
    <rPh sb="2" eb="5">
      <t>ケンチジ</t>
    </rPh>
    <rPh sb="5" eb="7">
      <t>キョカ</t>
    </rPh>
    <phoneticPr fontId="2"/>
  </si>
  <si>
    <t>栃木県知事許可</t>
    <rPh sb="0" eb="3">
      <t>トチギケン</t>
    </rPh>
    <rPh sb="3" eb="5">
      <t>チジ</t>
    </rPh>
    <rPh sb="5" eb="7">
      <t>キョカ</t>
    </rPh>
    <phoneticPr fontId="2"/>
  </si>
  <si>
    <t>群馬県知事許可</t>
    <rPh sb="0" eb="2">
      <t>グンマ</t>
    </rPh>
    <rPh sb="2" eb="5">
      <t>ケンチジ</t>
    </rPh>
    <rPh sb="5" eb="7">
      <t>キョカ</t>
    </rPh>
    <phoneticPr fontId="2"/>
  </si>
  <si>
    <t>埼玉県知事許可</t>
    <rPh sb="0" eb="2">
      <t>サイタマ</t>
    </rPh>
    <rPh sb="2" eb="5">
      <t>ケンチジ</t>
    </rPh>
    <rPh sb="5" eb="7">
      <t>キョカ</t>
    </rPh>
    <phoneticPr fontId="2"/>
  </si>
  <si>
    <t>千葉県知事許可</t>
    <rPh sb="0" eb="2">
      <t>チバ</t>
    </rPh>
    <rPh sb="2" eb="5">
      <t>ケンチジ</t>
    </rPh>
    <rPh sb="5" eb="7">
      <t>キョカ</t>
    </rPh>
    <phoneticPr fontId="2"/>
  </si>
  <si>
    <t>東京都知事許可</t>
    <rPh sb="0" eb="3">
      <t>トウキョウト</t>
    </rPh>
    <rPh sb="3" eb="5">
      <t>チジ</t>
    </rPh>
    <rPh sb="5" eb="7">
      <t>キョカ</t>
    </rPh>
    <phoneticPr fontId="2"/>
  </si>
  <si>
    <t>神奈川県知事許可</t>
    <rPh sb="0" eb="3">
      <t>カナガワ</t>
    </rPh>
    <rPh sb="3" eb="6">
      <t>ケンチジ</t>
    </rPh>
    <rPh sb="6" eb="8">
      <t>キョカ</t>
    </rPh>
    <phoneticPr fontId="2"/>
  </si>
  <si>
    <t>新潟県知事許可</t>
    <rPh sb="0" eb="2">
      <t>ニイガタ</t>
    </rPh>
    <rPh sb="2" eb="5">
      <t>ケンチジ</t>
    </rPh>
    <rPh sb="5" eb="7">
      <t>キョカ</t>
    </rPh>
    <phoneticPr fontId="2"/>
  </si>
  <si>
    <t>富山県知事許可</t>
    <rPh sb="0" eb="2">
      <t>トヤマ</t>
    </rPh>
    <rPh sb="2" eb="5">
      <t>ケンチジ</t>
    </rPh>
    <rPh sb="5" eb="7">
      <t>キョカ</t>
    </rPh>
    <phoneticPr fontId="2"/>
  </si>
  <si>
    <t>石川県知事許可</t>
    <rPh sb="0" eb="2">
      <t>イシカワ</t>
    </rPh>
    <rPh sb="2" eb="5">
      <t>ケンチジ</t>
    </rPh>
    <rPh sb="5" eb="7">
      <t>キョカ</t>
    </rPh>
    <phoneticPr fontId="2"/>
  </si>
  <si>
    <t>福井県知事許可</t>
    <rPh sb="0" eb="2">
      <t>フクイ</t>
    </rPh>
    <rPh sb="2" eb="5">
      <t>ケンチジ</t>
    </rPh>
    <rPh sb="5" eb="7">
      <t>キョカ</t>
    </rPh>
    <phoneticPr fontId="2"/>
  </si>
  <si>
    <t>山梨県知事許可</t>
    <rPh sb="0" eb="2">
      <t>ヤマナシ</t>
    </rPh>
    <rPh sb="2" eb="5">
      <t>ケンチジ</t>
    </rPh>
    <rPh sb="5" eb="7">
      <t>キョカ</t>
    </rPh>
    <phoneticPr fontId="2"/>
  </si>
  <si>
    <t>岐阜県知事許可</t>
    <rPh sb="0" eb="2">
      <t>ギフ</t>
    </rPh>
    <rPh sb="2" eb="5">
      <t>ケンチジ</t>
    </rPh>
    <rPh sb="5" eb="7">
      <t>キョカ</t>
    </rPh>
    <phoneticPr fontId="2"/>
  </si>
  <si>
    <t>愛知県知事許可</t>
    <rPh sb="0" eb="2">
      <t>アイチ</t>
    </rPh>
    <rPh sb="2" eb="5">
      <t>ケンチジ</t>
    </rPh>
    <rPh sb="5" eb="7">
      <t>キョカ</t>
    </rPh>
    <phoneticPr fontId="2"/>
  </si>
  <si>
    <t>長野県知事許可</t>
    <rPh sb="0" eb="2">
      <t>ナガノ</t>
    </rPh>
    <rPh sb="2" eb="5">
      <t>ケンチジ</t>
    </rPh>
    <rPh sb="5" eb="7">
      <t>キョカ</t>
    </rPh>
    <phoneticPr fontId="2"/>
  </si>
  <si>
    <t>静岡県知事許可</t>
    <rPh sb="0" eb="2">
      <t>シズオカ</t>
    </rPh>
    <rPh sb="2" eb="5">
      <t>ケンチジ</t>
    </rPh>
    <rPh sb="5" eb="7">
      <t>キョカ</t>
    </rPh>
    <phoneticPr fontId="2"/>
  </si>
  <si>
    <t>三重県知事許可</t>
    <rPh sb="0" eb="2">
      <t>ミエ</t>
    </rPh>
    <rPh sb="2" eb="5">
      <t>ケンチジ</t>
    </rPh>
    <rPh sb="5" eb="7">
      <t>キョカ</t>
    </rPh>
    <phoneticPr fontId="2"/>
  </si>
  <si>
    <t>滋賀県知事許可</t>
    <rPh sb="0" eb="3">
      <t>シガケン</t>
    </rPh>
    <rPh sb="3" eb="5">
      <t>チジ</t>
    </rPh>
    <rPh sb="5" eb="7">
      <t>キョカ</t>
    </rPh>
    <phoneticPr fontId="2"/>
  </si>
  <si>
    <t>京都府知事許可</t>
    <rPh sb="0" eb="2">
      <t>キョウト</t>
    </rPh>
    <rPh sb="2" eb="5">
      <t>フチジ</t>
    </rPh>
    <rPh sb="5" eb="7">
      <t>キョカ</t>
    </rPh>
    <phoneticPr fontId="2"/>
  </si>
  <si>
    <t>大阪府知事許可</t>
    <rPh sb="0" eb="3">
      <t>オオサカフ</t>
    </rPh>
    <rPh sb="3" eb="5">
      <t>チジ</t>
    </rPh>
    <rPh sb="5" eb="7">
      <t>キョカ</t>
    </rPh>
    <phoneticPr fontId="2"/>
  </si>
  <si>
    <t>兵庫県知事許可</t>
    <rPh sb="0" eb="3">
      <t>ヒョウゴケン</t>
    </rPh>
    <rPh sb="3" eb="5">
      <t>チジ</t>
    </rPh>
    <rPh sb="5" eb="7">
      <t>キョカ</t>
    </rPh>
    <phoneticPr fontId="2"/>
  </si>
  <si>
    <t>奈良県知事許可</t>
    <rPh sb="0" eb="3">
      <t>ナラケン</t>
    </rPh>
    <rPh sb="3" eb="5">
      <t>チジ</t>
    </rPh>
    <rPh sb="5" eb="7">
      <t>キョカ</t>
    </rPh>
    <phoneticPr fontId="2"/>
  </si>
  <si>
    <t>和歌山県知事許可</t>
    <rPh sb="0" eb="3">
      <t>ワカヤマ</t>
    </rPh>
    <rPh sb="3" eb="6">
      <t>ケンチジ</t>
    </rPh>
    <rPh sb="6" eb="8">
      <t>キョカ</t>
    </rPh>
    <phoneticPr fontId="2"/>
  </si>
  <si>
    <t>鳥取県知事許可</t>
    <rPh sb="0" eb="2">
      <t>トットリ</t>
    </rPh>
    <rPh sb="2" eb="5">
      <t>ケンチジ</t>
    </rPh>
    <rPh sb="5" eb="7">
      <t>キョカ</t>
    </rPh>
    <phoneticPr fontId="2"/>
  </si>
  <si>
    <t>島根県知事許可</t>
    <rPh sb="0" eb="2">
      <t>シマネ</t>
    </rPh>
    <rPh sb="2" eb="5">
      <t>ケンチジ</t>
    </rPh>
    <rPh sb="5" eb="7">
      <t>キョカ</t>
    </rPh>
    <phoneticPr fontId="2"/>
  </si>
  <si>
    <t>岡山県知事許可</t>
    <rPh sb="0" eb="2">
      <t>オカヤマ</t>
    </rPh>
    <rPh sb="2" eb="5">
      <t>ケンチジ</t>
    </rPh>
    <rPh sb="5" eb="7">
      <t>キョカ</t>
    </rPh>
    <phoneticPr fontId="2"/>
  </si>
  <si>
    <t>広島県知事許可</t>
    <rPh sb="0" eb="2">
      <t>ヒロシマ</t>
    </rPh>
    <rPh sb="2" eb="5">
      <t>ケンチジ</t>
    </rPh>
    <rPh sb="5" eb="7">
      <t>キョカ</t>
    </rPh>
    <phoneticPr fontId="2"/>
  </si>
  <si>
    <t>山口県知事許可</t>
    <rPh sb="0" eb="2">
      <t>ヤマグチ</t>
    </rPh>
    <rPh sb="2" eb="5">
      <t>ケンチジ</t>
    </rPh>
    <rPh sb="5" eb="7">
      <t>キョカ</t>
    </rPh>
    <phoneticPr fontId="2"/>
  </si>
  <si>
    <t>徳島県知事許可</t>
    <rPh sb="0" eb="2">
      <t>トクシマ</t>
    </rPh>
    <rPh sb="2" eb="5">
      <t>ケンチジ</t>
    </rPh>
    <rPh sb="5" eb="7">
      <t>キョカ</t>
    </rPh>
    <phoneticPr fontId="2"/>
  </si>
  <si>
    <t>香川県知事許可</t>
    <rPh sb="0" eb="2">
      <t>カガワ</t>
    </rPh>
    <rPh sb="2" eb="5">
      <t>ケンチジ</t>
    </rPh>
    <rPh sb="5" eb="7">
      <t>キョカ</t>
    </rPh>
    <phoneticPr fontId="2"/>
  </si>
  <si>
    <t>愛媛県知事許可</t>
    <rPh sb="0" eb="2">
      <t>エヒメ</t>
    </rPh>
    <rPh sb="2" eb="5">
      <t>ケンチジ</t>
    </rPh>
    <rPh sb="5" eb="7">
      <t>キョカ</t>
    </rPh>
    <phoneticPr fontId="2"/>
  </si>
  <si>
    <t>高知県知事許可</t>
    <rPh sb="0" eb="2">
      <t>コウチ</t>
    </rPh>
    <rPh sb="2" eb="5">
      <t>ケンチジ</t>
    </rPh>
    <rPh sb="5" eb="7">
      <t>キョカ</t>
    </rPh>
    <phoneticPr fontId="2"/>
  </si>
  <si>
    <t>福岡県知事許可</t>
    <rPh sb="0" eb="2">
      <t>フクオカ</t>
    </rPh>
    <rPh sb="2" eb="5">
      <t>ケンチジ</t>
    </rPh>
    <rPh sb="5" eb="7">
      <t>キョカ</t>
    </rPh>
    <phoneticPr fontId="2"/>
  </si>
  <si>
    <t>佐賀県知事許可</t>
    <rPh sb="0" eb="2">
      <t>サガ</t>
    </rPh>
    <rPh sb="2" eb="5">
      <t>ケンチジ</t>
    </rPh>
    <rPh sb="5" eb="7">
      <t>キョカ</t>
    </rPh>
    <phoneticPr fontId="2"/>
  </si>
  <si>
    <t>熊本県知事許可</t>
    <rPh sb="0" eb="2">
      <t>クマモト</t>
    </rPh>
    <rPh sb="2" eb="5">
      <t>ケンチジ</t>
    </rPh>
    <rPh sb="5" eb="7">
      <t>キョカ</t>
    </rPh>
    <phoneticPr fontId="2"/>
  </si>
  <si>
    <t>長崎県知事許可</t>
    <rPh sb="0" eb="2">
      <t>ナガサキ</t>
    </rPh>
    <rPh sb="2" eb="5">
      <t>ケンチジ</t>
    </rPh>
    <rPh sb="5" eb="7">
      <t>キョカ</t>
    </rPh>
    <phoneticPr fontId="2"/>
  </si>
  <si>
    <t>大分県知事許可</t>
    <rPh sb="0" eb="2">
      <t>オオイタ</t>
    </rPh>
    <rPh sb="2" eb="5">
      <t>ケンチジ</t>
    </rPh>
    <rPh sb="5" eb="7">
      <t>キョカ</t>
    </rPh>
    <phoneticPr fontId="2"/>
  </si>
  <si>
    <t>宮崎県知事許可</t>
    <rPh sb="0" eb="2">
      <t>ミヤザキ</t>
    </rPh>
    <rPh sb="2" eb="5">
      <t>ケンチジ</t>
    </rPh>
    <rPh sb="5" eb="7">
      <t>キョカ</t>
    </rPh>
    <phoneticPr fontId="2"/>
  </si>
  <si>
    <t>鹿児島県知事許可</t>
    <rPh sb="0" eb="3">
      <t>カゴシマ</t>
    </rPh>
    <rPh sb="3" eb="6">
      <t>ケンチジ</t>
    </rPh>
    <rPh sb="6" eb="8">
      <t>キョカ</t>
    </rPh>
    <phoneticPr fontId="2"/>
  </si>
  <si>
    <t>沖縄県知事許可</t>
    <rPh sb="0" eb="2">
      <t>オキナワ</t>
    </rPh>
    <rPh sb="2" eb="5">
      <t>ケンチジ</t>
    </rPh>
    <rPh sb="5" eb="7">
      <t>キョカ</t>
    </rPh>
    <phoneticPr fontId="2"/>
  </si>
  <si>
    <t>技術力（Z）</t>
    <rPh sb="0" eb="3">
      <t>ギジュツリョク</t>
    </rPh>
    <phoneticPr fontId="2"/>
  </si>
  <si>
    <t>評点Z1</t>
    <rPh sb="0" eb="2">
      <t>ヒョウテン</t>
    </rPh>
    <phoneticPr fontId="2"/>
  </si>
  <si>
    <t>ﾀｲﾙ･れんが･ﾌﾞﾛｯｸ</t>
  </si>
  <si>
    <t>しゅんせつ</t>
  </si>
  <si>
    <t>ガラス</t>
  </si>
  <si>
    <t>２期平均</t>
    <rPh sb="1" eb="2">
      <t>キ</t>
    </rPh>
    <rPh sb="2" eb="4">
      <t>ヘイキン</t>
    </rPh>
    <phoneticPr fontId="2"/>
  </si>
  <si>
    <t>３期平均</t>
    <rPh sb="1" eb="2">
      <t>キ</t>
    </rPh>
    <rPh sb="2" eb="4">
      <t>ヘイキン</t>
    </rPh>
    <phoneticPr fontId="2"/>
  </si>
  <si>
    <t>平均利益額補正</t>
    <rPh sb="0" eb="2">
      <t>ヘイキン</t>
    </rPh>
    <rPh sb="2" eb="5">
      <t>リエキガク</t>
    </rPh>
    <rPh sb="5" eb="7">
      <t>ホセイ</t>
    </rPh>
    <phoneticPr fontId="2"/>
  </si>
  <si>
    <t>完工高2期</t>
    <rPh sb="0" eb="3">
      <t>カンコウダカ</t>
    </rPh>
    <rPh sb="4" eb="5">
      <t>キ</t>
    </rPh>
    <phoneticPr fontId="2"/>
  </si>
  <si>
    <t>完工高3期</t>
    <rPh sb="0" eb="3">
      <t>カンコウダカ</t>
    </rPh>
    <rPh sb="4" eb="5">
      <t>キ</t>
    </rPh>
    <phoneticPr fontId="2"/>
  </si>
  <si>
    <t>補正後</t>
    <rPh sb="0" eb="2">
      <t>ホセイ</t>
    </rPh>
    <rPh sb="2" eb="3">
      <t>ゴ</t>
    </rPh>
    <phoneticPr fontId="2"/>
  </si>
  <si>
    <t>完成工事高･元請完成工事高</t>
    <rPh sb="0" eb="5">
      <t>カンセイコウジダカ</t>
    </rPh>
    <rPh sb="6" eb="8">
      <t>モトウケ</t>
    </rPh>
    <rPh sb="8" eb="13">
      <t>カンセイコウジダカ</t>
    </rPh>
    <phoneticPr fontId="2"/>
  </si>
  <si>
    <t>固定資産合計</t>
    <rPh sb="0" eb="2">
      <t>コテイ</t>
    </rPh>
    <rPh sb="2" eb="4">
      <t>シサン</t>
    </rPh>
    <rPh sb="4" eb="6">
      <t>ゴウケイ</t>
    </rPh>
    <phoneticPr fontId="2"/>
  </si>
  <si>
    <t>流動負債合計</t>
    <rPh sb="0" eb="2">
      <t>リュウドウ</t>
    </rPh>
    <rPh sb="2" eb="4">
      <t>フサイ</t>
    </rPh>
    <rPh sb="4" eb="6">
      <t>ゴウケイ</t>
    </rPh>
    <phoneticPr fontId="2"/>
  </si>
  <si>
    <t>固定負債合計</t>
    <rPh sb="0" eb="2">
      <t>コテイ</t>
    </rPh>
    <rPh sb="2" eb="4">
      <t>フサイ</t>
    </rPh>
    <rPh sb="4" eb="6">
      <t>ゴウケイ</t>
    </rPh>
    <phoneticPr fontId="2"/>
  </si>
  <si>
    <t>固定資産</t>
    <rPh sb="0" eb="4">
      <t>コテイシサン</t>
    </rPh>
    <phoneticPr fontId="2"/>
  </si>
  <si>
    <t>減価償却実施額＋</t>
    <rPh sb="0" eb="2">
      <t>ゲンカ</t>
    </rPh>
    <rPh sb="2" eb="4">
      <t>ショウキャク</t>
    </rPh>
    <rPh sb="4" eb="7">
      <t>ジッシガク</t>
    </rPh>
    <phoneticPr fontId="2"/>
  </si>
  <si>
    <t>法人税、住民税及び事業税-</t>
    <rPh sb="0" eb="3">
      <t>ホウジンゼイ</t>
    </rPh>
    <rPh sb="4" eb="7">
      <t>ジュウミンゼイ</t>
    </rPh>
    <rPh sb="7" eb="8">
      <t>オヨ</t>
    </rPh>
    <rPh sb="9" eb="12">
      <t>ジギョウゼイ</t>
    </rPh>
    <phoneticPr fontId="2"/>
  </si>
  <si>
    <t>引当金増減額＋</t>
    <rPh sb="0" eb="3">
      <t>ヒキアテキン</t>
    </rPh>
    <rPh sb="3" eb="6">
      <t>ゾウゲンガク</t>
    </rPh>
    <phoneticPr fontId="2"/>
  </si>
  <si>
    <t>売掛債権増減額-</t>
    <rPh sb="0" eb="2">
      <t>ウリカケ</t>
    </rPh>
    <rPh sb="2" eb="4">
      <t>サイケン</t>
    </rPh>
    <rPh sb="4" eb="7">
      <t>ゾウゲンガク</t>
    </rPh>
    <phoneticPr fontId="2"/>
  </si>
  <si>
    <t>仕入債務増減額＋</t>
    <rPh sb="0" eb="2">
      <t>シイレ</t>
    </rPh>
    <rPh sb="2" eb="4">
      <t>サイム</t>
    </rPh>
    <rPh sb="4" eb="7">
      <t>ゾウゲンガク</t>
    </rPh>
    <phoneticPr fontId="2"/>
  </si>
  <si>
    <t>棚卸資産増減額-</t>
    <rPh sb="0" eb="2">
      <t>タナオロ</t>
    </rPh>
    <rPh sb="2" eb="4">
      <t>シサン</t>
    </rPh>
    <rPh sb="4" eb="7">
      <t>ゾウゲンガク</t>
    </rPh>
    <phoneticPr fontId="2"/>
  </si>
  <si>
    <t>受入金増減額＋</t>
    <rPh sb="0" eb="3">
      <t>ウケイレキン</t>
    </rPh>
    <rPh sb="3" eb="6">
      <t>ゾウゲンガク</t>
    </rPh>
    <phoneticPr fontId="2"/>
  </si>
  <si>
    <t>経常利益+</t>
    <rPh sb="0" eb="2">
      <t>ケイジョウ</t>
    </rPh>
    <rPh sb="2" eb="4">
      <t>リエキ</t>
    </rPh>
    <phoneticPr fontId="2"/>
  </si>
  <si>
    <t>キャッシュフロー</t>
    <phoneticPr fontId="2"/>
  </si>
  <si>
    <t>EBITDA</t>
    <phoneticPr fontId="2"/>
  </si>
  <si>
    <t>X1</t>
    <phoneticPr fontId="2"/>
  </si>
  <si>
    <t>Y</t>
    <phoneticPr fontId="2"/>
  </si>
  <si>
    <t xml:space="preserve"> ↓</t>
    <phoneticPr fontId="2"/>
  </si>
  <si>
    <t>←</t>
    <phoneticPr fontId="2"/>
  </si>
  <si>
    <t>※監査の受審状況が会計監査人の設置の場合のみ加点</t>
    <phoneticPr fontId="2"/>
  </si>
  <si>
    <t>（単位：千円）</t>
    <rPh sb="1" eb="3">
      <t>タンイ</t>
    </rPh>
    <rPh sb="4" eb="6">
      <t>センエン</t>
    </rPh>
    <phoneticPr fontId="2"/>
  </si>
  <si>
    <t>一級のうち</t>
    <rPh sb="0" eb="2">
      <t>イッキュウ</t>
    </rPh>
    <phoneticPr fontId="2"/>
  </si>
  <si>
    <t>平均利益額補正</t>
  </si>
  <si>
    <t>00</t>
    <phoneticPr fontId="2"/>
  </si>
  <si>
    <t>ﾌﾟﾚｽﾄｺﾝｸﾘｰﾄ</t>
    <phoneticPr fontId="2"/>
  </si>
  <si>
    <t>ﾀｲﾙ･れんが･ﾌﾞﾛｯｸ</t>
    <phoneticPr fontId="2"/>
  </si>
  <si>
    <t>しゅんせつ</t>
    <phoneticPr fontId="2"/>
  </si>
  <si>
    <t>ガラス</t>
    <phoneticPr fontId="2"/>
  </si>
  <si>
    <t>Z1</t>
    <phoneticPr fontId="2"/>
  </si>
  <si>
    <t>Z</t>
    <phoneticPr fontId="2"/>
  </si>
  <si>
    <t>ガラス</t>
    <phoneticPr fontId="2"/>
  </si>
  <si>
    <t>民事再生法又は会社更生法の適用の有無</t>
    <rPh sb="0" eb="2">
      <t>ミンジ</t>
    </rPh>
    <rPh sb="2" eb="5">
      <t>サイセイホウ</t>
    </rPh>
    <rPh sb="5" eb="6">
      <t>マタ</t>
    </rPh>
    <rPh sb="7" eb="9">
      <t>カイシャ</t>
    </rPh>
    <rPh sb="9" eb="12">
      <t>コウセイホウ</t>
    </rPh>
    <rPh sb="13" eb="15">
      <t>テキヨウ</t>
    </rPh>
    <rPh sb="16" eb="18">
      <t>ウム</t>
    </rPh>
    <phoneticPr fontId="2"/>
  </si>
  <si>
    <t>台</t>
    <rPh sb="0" eb="1">
      <t>ダイ</t>
    </rPh>
    <phoneticPr fontId="2"/>
  </si>
  <si>
    <t>建設機械の所有及びリース台数</t>
    <rPh sb="0" eb="2">
      <t>ケンセツ</t>
    </rPh>
    <rPh sb="2" eb="4">
      <t>キカイ</t>
    </rPh>
    <rPh sb="5" eb="7">
      <t>ショユウ</t>
    </rPh>
    <rPh sb="7" eb="8">
      <t>オヨ</t>
    </rPh>
    <rPh sb="12" eb="14">
      <t>ダイスウ</t>
    </rPh>
    <phoneticPr fontId="2"/>
  </si>
  <si>
    <t>建設機械の保有状況</t>
    <rPh sb="0" eb="2">
      <t>ケンセツ</t>
    </rPh>
    <rPh sb="2" eb="4">
      <t>キカイ</t>
    </rPh>
    <rPh sb="5" eb="7">
      <t>ホユウ</t>
    </rPh>
    <rPh sb="7" eb="9">
      <t>ジョウキョウ</t>
    </rPh>
    <phoneticPr fontId="2"/>
  </si>
  <si>
    <t>ＩＳＯ９００１の登録の有無</t>
    <rPh sb="8" eb="10">
      <t>トウロク</t>
    </rPh>
    <rPh sb="11" eb="13">
      <t>ウム</t>
    </rPh>
    <phoneticPr fontId="2"/>
  </si>
  <si>
    <t>ＩＳＯ１４００１の登録の有無</t>
    <rPh sb="9" eb="11">
      <t>トウロク</t>
    </rPh>
    <rPh sb="12" eb="14">
      <t>ウム</t>
    </rPh>
    <phoneticPr fontId="2"/>
  </si>
  <si>
    <t>民事再生法又は会社更生法適用の有無</t>
    <rPh sb="0" eb="2">
      <t>ミンジ</t>
    </rPh>
    <rPh sb="2" eb="5">
      <t>サイセイホウ</t>
    </rPh>
    <rPh sb="5" eb="6">
      <t>マタ</t>
    </rPh>
    <rPh sb="7" eb="9">
      <t>カイシャ</t>
    </rPh>
    <rPh sb="9" eb="12">
      <t>コウセイホウ</t>
    </rPh>
    <rPh sb="12" eb="14">
      <t>テキヨウ</t>
    </rPh>
    <rPh sb="15" eb="17">
      <t>ウム</t>
    </rPh>
    <phoneticPr fontId="2"/>
  </si>
  <si>
    <t>W1</t>
    <phoneticPr fontId="2"/>
  </si>
  <si>
    <t>W4</t>
    <phoneticPr fontId="2"/>
  </si>
  <si>
    <t>W5</t>
    <phoneticPr fontId="2"/>
  </si>
  <si>
    <t>W6</t>
    <phoneticPr fontId="2"/>
  </si>
  <si>
    <t>W8</t>
    <phoneticPr fontId="2"/>
  </si>
  <si>
    <t>W7</t>
    <phoneticPr fontId="2"/>
  </si>
  <si>
    <t>保有・リース台数</t>
    <rPh sb="0" eb="2">
      <t>ホユウ</t>
    </rPh>
    <rPh sb="6" eb="8">
      <t>ダイスウ</t>
    </rPh>
    <phoneticPr fontId="2"/>
  </si>
  <si>
    <t>と</t>
    <phoneticPr fontId="2"/>
  </si>
  <si>
    <t>しゅ</t>
    <phoneticPr fontId="2"/>
  </si>
  <si>
    <t>ガ</t>
    <phoneticPr fontId="2"/>
  </si>
  <si>
    <t>Microsoft Excel は米国Microsoft Corporationの米国およびその他の国における登録商標です。</t>
    <phoneticPr fontId="2"/>
  </si>
  <si>
    <t>ﾌﾟﾚｽﾄｺﾝｸﾘｰﾄ</t>
    <phoneticPr fontId="2"/>
  </si>
  <si>
    <t>ﾀｲﾙ･れんが･ﾌﾞﾛｯｸ</t>
    <phoneticPr fontId="2"/>
  </si>
  <si>
    <t>しゅんせつ</t>
    <phoneticPr fontId="2"/>
  </si>
  <si>
    <t>ガラス</t>
    <phoneticPr fontId="2"/>
  </si>
  <si>
    <t>総資本(負債純資産合計)</t>
    <rPh sb="0" eb="3">
      <t>ソウシホン</t>
    </rPh>
    <rPh sb="4" eb="6">
      <t>フサイ</t>
    </rPh>
    <rPh sb="6" eb="9">
      <t>ジュンシサン</t>
    </rPh>
    <rPh sb="9" eb="11">
      <t>ゴウケイ</t>
    </rPh>
    <phoneticPr fontId="2"/>
  </si>
  <si>
    <t>W2</t>
    <phoneticPr fontId="2"/>
  </si>
  <si>
    <t>W3</t>
    <phoneticPr fontId="2"/>
  </si>
  <si>
    <t>Y</t>
    <phoneticPr fontId="2"/>
  </si>
  <si>
    <t>X2</t>
    <phoneticPr fontId="2"/>
  </si>
  <si>
    <t>W</t>
    <phoneticPr fontId="2"/>
  </si>
  <si>
    <t>P</t>
    <phoneticPr fontId="2"/>
  </si>
  <si>
    <t>X1</t>
    <phoneticPr fontId="2"/>
  </si>
  <si>
    <t>Z</t>
    <phoneticPr fontId="2"/>
  </si>
  <si>
    <t>評点X2</t>
    <rPh sb="0" eb="2">
      <t>ヒョウテン</t>
    </rPh>
    <phoneticPr fontId="2"/>
  </si>
  <si>
    <t>Y</t>
    <phoneticPr fontId="2"/>
  </si>
  <si>
    <t>X2</t>
    <phoneticPr fontId="2"/>
  </si>
  <si>
    <t>W</t>
    <phoneticPr fontId="2"/>
  </si>
  <si>
    <t>P</t>
    <phoneticPr fontId="2"/>
  </si>
  <si>
    <t>X1</t>
    <phoneticPr fontId="2"/>
  </si>
  <si>
    <t>Z</t>
    <phoneticPr fontId="2"/>
  </si>
  <si>
    <t>社会性等評点（W)が０点のまま変化しません。</t>
    <rPh sb="0" eb="3">
      <t>シャカイセイ</t>
    </rPh>
    <rPh sb="3" eb="4">
      <t>トウ</t>
    </rPh>
    <rPh sb="4" eb="6">
      <t>ヒョウテン</t>
    </rPh>
    <rPh sb="11" eb="12">
      <t>テン</t>
    </rPh>
    <rPh sb="15" eb="17">
      <t>ヘンカ</t>
    </rPh>
    <phoneticPr fontId="2"/>
  </si>
  <si>
    <t>サンプル版は技術力評点（Ｚ）が４５６点、経営状況評点（Ｙ）が０点、</t>
    <rPh sb="6" eb="9">
      <t>ギジュツリョク</t>
    </rPh>
    <rPh sb="31" eb="32">
      <t>テン</t>
    </rPh>
    <phoneticPr fontId="2"/>
  </si>
  <si>
    <t>厚生年金保険加入の有無</t>
    <rPh sb="0" eb="2">
      <t>コウセイ</t>
    </rPh>
    <rPh sb="2" eb="4">
      <t>ネンキン</t>
    </rPh>
    <rPh sb="4" eb="6">
      <t>ホケン</t>
    </rPh>
    <rPh sb="6" eb="8">
      <t>カニュウ</t>
    </rPh>
    <rPh sb="9" eb="11">
      <t>ウム</t>
    </rPh>
    <phoneticPr fontId="2"/>
  </si>
  <si>
    <t>健康保険加入の有無</t>
    <rPh sb="0" eb="2">
      <t>ケンコウ</t>
    </rPh>
    <rPh sb="2" eb="4">
      <t>ホケン</t>
    </rPh>
    <rPh sb="4" eb="6">
      <t>カニュウ</t>
    </rPh>
    <rPh sb="7" eb="9">
      <t>ウム</t>
    </rPh>
    <phoneticPr fontId="2"/>
  </si>
  <si>
    <t>パスワードを入力すると文字が変わります</t>
    <rPh sb="6" eb="8">
      <t>ニュウリョク</t>
    </rPh>
    <rPh sb="11" eb="13">
      <t>モジ</t>
    </rPh>
    <rPh sb="14" eb="15">
      <t>カ</t>
    </rPh>
    <phoneticPr fontId="2"/>
  </si>
  <si>
    <t>CF</t>
    <phoneticPr fontId="2"/>
  </si>
  <si>
    <t>（資）ティーアンドエスソフト</t>
    <rPh sb="1" eb="2">
      <t>シ</t>
    </rPh>
    <phoneticPr fontId="2"/>
  </si>
  <si>
    <t>関　孝子</t>
    <rPh sb="0" eb="1">
      <t>セキ</t>
    </rPh>
    <rPh sb="2" eb="4">
      <t>タカコ</t>
    </rPh>
    <phoneticPr fontId="2"/>
  </si>
  <si>
    <t>5574</t>
    <phoneticPr fontId="2"/>
  </si>
  <si>
    <t>3593</t>
    <phoneticPr fontId="2"/>
  </si>
  <si>
    <t>サンプル版は技術力評点（Ｚ）が４５６点、経営状況評点（Ｙ）が０点、</t>
  </si>
  <si>
    <t>社会性等評点（Ｗ）が０点のまま変化しません。</t>
  </si>
  <si>
    <t>また、その時に、振込先（銀行、郵便振替）も明記しておりますので、</t>
  </si>
  <si>
    <t>製品版への変更のための『パスワード』の入力方法は、</t>
  </si>
  <si>
    <t>【免責事項】</t>
  </si>
  <si>
    <t>本ソフトウェアを使用することで発生したいかなる損害についても、</t>
  </si>
  <si>
    <t>ソフトウェア制作者は一切責任を負いません。</t>
  </si>
  <si>
    <t>【著 作 権】</t>
  </si>
  <si>
    <t>【サポート】</t>
  </si>
  <si>
    <t>ご質問、ご感想ご要望、バグ情報等がございましたら、メールでお願いします。</t>
  </si>
  <si>
    <t>*********************************************************************</t>
  </si>
  <si>
    <t xml:space="preserve"> 合資会社　ティーアンドエスソフト</t>
  </si>
  <si>
    <t>　〒038-2324</t>
  </si>
  <si>
    <t>　 青森県西津軽郡深浦町大字深浦字苗代沢30-26</t>
  </si>
  <si>
    <t>【ソ フト 名】</t>
    <phoneticPr fontId="2"/>
  </si>
  <si>
    <t>【バージョン】</t>
    <phoneticPr fontId="2"/>
  </si>
  <si>
    <t>【作　成　者】</t>
    <phoneticPr fontId="2"/>
  </si>
  <si>
    <t xml:space="preserve">【動作　環境】 </t>
    <phoneticPr fontId="2"/>
  </si>
  <si>
    <t>【ソフト種別】</t>
    <phoneticPr fontId="2"/>
  </si>
  <si>
    <t>【最終更新日】</t>
    <phoneticPr fontId="2"/>
  </si>
  <si>
    <t>合資会社ティーアンドエスソフト</t>
  </si>
  <si>
    <t>シェアウェア</t>
    <phoneticPr fontId="2"/>
  </si>
  <si>
    <t>【ソフトの説明】</t>
    <rPh sb="5" eb="7">
      <t>セツメイ</t>
    </rPh>
    <phoneticPr fontId="2"/>
  </si>
  <si>
    <t>インストール不要でUSBメモリー等での持ち歩きが可能なため、税理士・行政書士さんが、</t>
    <phoneticPr fontId="2"/>
  </si>
  <si>
    <t>技術力評点（Z)　　社会性等評点（W）　を瞬時に計算表示</t>
    <phoneticPr fontId="2"/>
  </si>
  <si>
    <t>総合評点（P)　　工事種類別年間平均完成工事高評点（X1）</t>
    <phoneticPr fontId="2"/>
  </si>
  <si>
    <t>自己資本額及び利払前税引前償却前利益評点（X2）　　経営状況分析評点（Y）</t>
    <phoneticPr fontId="2"/>
  </si>
  <si>
    <t>自動返信メールですぐにパスワードを送信いたします。</t>
    <rPh sb="0" eb="2">
      <t>ジドウ</t>
    </rPh>
    <rPh sb="2" eb="4">
      <t>ヘンシン</t>
    </rPh>
    <phoneticPr fontId="2"/>
  </si>
  <si>
    <t>本ソフトウェアの著作権は合資会社ティーアンドエスソフト（T&amp;S Soft）が保有します。</t>
    <rPh sb="38" eb="40">
      <t>ホユウ</t>
    </rPh>
    <phoneticPr fontId="2"/>
  </si>
  <si>
    <t>【支払方法等】</t>
    <rPh sb="5" eb="6">
      <t>トウ</t>
    </rPh>
    <phoneticPr fontId="2"/>
  </si>
  <si>
    <t>製品版への変更のパスワードををご希望の方は、下記お申し込みアドレスからお申し込み下さい。</t>
    <rPh sb="25" eb="26">
      <t>モウ</t>
    </rPh>
    <rPh sb="27" eb="28">
      <t>コ</t>
    </rPh>
    <phoneticPr fontId="2"/>
  </si>
  <si>
    <t>お申し込みアドレス</t>
    <rPh sb="1" eb="2">
      <t>モウ</t>
    </rPh>
    <rPh sb="3" eb="4">
      <t>コ</t>
    </rPh>
    <phoneticPr fontId="2"/>
  </si>
  <si>
    <t>s.seki@t-and-s-soft.gr.jp</t>
    <phoneticPr fontId="2"/>
  </si>
  <si>
    <t>URL</t>
    <phoneticPr fontId="2"/>
  </si>
  <si>
    <t>MAIL</t>
    <phoneticPr fontId="2"/>
  </si>
  <si>
    <t>『パスワード』シートの説明をご参照のうえ行ってください。</t>
    <phoneticPr fontId="2"/>
  </si>
  <si>
    <t>新規若年技術職員の育成及び確保</t>
    <rPh sb="0" eb="2">
      <t>シンキ</t>
    </rPh>
    <rPh sb="2" eb="4">
      <t>ジャクネン</t>
    </rPh>
    <rPh sb="4" eb="6">
      <t>ギジュツ</t>
    </rPh>
    <rPh sb="6" eb="8">
      <t>ショクイン</t>
    </rPh>
    <rPh sb="9" eb="11">
      <t>イクセイ</t>
    </rPh>
    <rPh sb="11" eb="12">
      <t>オヨ</t>
    </rPh>
    <rPh sb="13" eb="15">
      <t>カクホ</t>
    </rPh>
    <phoneticPr fontId="2"/>
  </si>
  <si>
    <t>該当</t>
    <rPh sb="0" eb="2">
      <t>ガイトウ</t>
    </rPh>
    <phoneticPr fontId="2"/>
  </si>
  <si>
    <t>非該当</t>
    <rPh sb="0" eb="3">
      <t>ヒガイトウ</t>
    </rPh>
    <phoneticPr fontId="2"/>
  </si>
  <si>
    <t>プレストレストコンクリート構造物</t>
    <rPh sb="13" eb="16">
      <t>コウゾウブツ</t>
    </rPh>
    <phoneticPr fontId="2"/>
  </si>
  <si>
    <t>総合
評定値
（Ｐ）</t>
    <rPh sb="0" eb="2">
      <t>ソウゴウ</t>
    </rPh>
    <rPh sb="3" eb="6">
      <t>ヒョウテイチ</t>
    </rPh>
    <phoneticPr fontId="2"/>
  </si>
  <si>
    <t xml:space="preserve">              評　　　　　点　　　　　（Ｙ）</t>
    <rPh sb="14" eb="15">
      <t>ヒョウ</t>
    </rPh>
    <rPh sb="20" eb="21">
      <t>テン</t>
    </rPh>
    <phoneticPr fontId="2"/>
  </si>
  <si>
    <t>審査対象月数１２ヶ月未満</t>
    <rPh sb="0" eb="2">
      <t>シンサ</t>
    </rPh>
    <rPh sb="2" eb="4">
      <t>タイショウ</t>
    </rPh>
    <rPh sb="4" eb="6">
      <t>ツキスウ</t>
    </rPh>
    <rPh sb="9" eb="10">
      <t>ゲツ</t>
    </rPh>
    <rPh sb="10" eb="12">
      <t>ミマン</t>
    </rPh>
    <phoneticPr fontId="2"/>
  </si>
  <si>
    <t>審査対象月数１２ヶ月未満</t>
  </si>
  <si>
    <t>使用者本人の判断と責任においてご使用下さい。</t>
    <phoneticPr fontId="2"/>
  </si>
  <si>
    <t>038</t>
    <phoneticPr fontId="2"/>
  </si>
  <si>
    <t>2324</t>
    <phoneticPr fontId="2"/>
  </si>
  <si>
    <t>080</t>
    <phoneticPr fontId="2"/>
  </si>
  <si>
    <t>解</t>
    <rPh sb="0" eb="1">
      <t>カイ</t>
    </rPh>
    <phoneticPr fontId="2"/>
  </si>
  <si>
    <t>解体</t>
    <rPh sb="0" eb="2">
      <t>カイタイ</t>
    </rPh>
    <phoneticPr fontId="2"/>
  </si>
  <si>
    <t>Z2</t>
    <phoneticPr fontId="2"/>
  </si>
  <si>
    <t>Z1</t>
    <phoneticPr fontId="2"/>
  </si>
  <si>
    <t>Zサンプル点数</t>
    <rPh sb="5" eb="7">
      <t>テンスウ</t>
    </rPh>
    <phoneticPr fontId="2"/>
  </si>
  <si>
    <t>自己資本額及び利益</t>
    <rPh sb="0" eb="2">
      <t>ジコ</t>
    </rPh>
    <rPh sb="2" eb="5">
      <t>シホンガク</t>
    </rPh>
    <rPh sb="5" eb="6">
      <t>オヨ</t>
    </rPh>
    <rPh sb="7" eb="9">
      <t>リエキ</t>
    </rPh>
    <phoneticPr fontId="2"/>
  </si>
  <si>
    <t>点　　数</t>
    <rPh sb="0" eb="1">
      <t>テン</t>
    </rPh>
    <rPh sb="3" eb="4">
      <t>スウ</t>
    </rPh>
    <phoneticPr fontId="2"/>
  </si>
  <si>
    <t>評　　　　点　　　　 （ Ｘ2 ）</t>
    <rPh sb="0" eb="1">
      <t>ヒョウ</t>
    </rPh>
    <rPh sb="5" eb="6">
      <t>テン</t>
    </rPh>
    <phoneticPr fontId="2"/>
  </si>
  <si>
    <t>2年平均</t>
    <rPh sb="1" eb="2">
      <t>ネン</t>
    </rPh>
    <rPh sb="2" eb="4">
      <t>ヘイキン</t>
    </rPh>
    <phoneticPr fontId="2"/>
  </si>
  <si>
    <t>3年平均</t>
    <rPh sb="1" eb="2">
      <t>ネン</t>
    </rPh>
    <rPh sb="2" eb="4">
      <t>ヘイキン</t>
    </rPh>
    <phoneticPr fontId="2"/>
  </si>
  <si>
    <t>完成工事高X1</t>
    <rPh sb="0" eb="2">
      <t>カンセイ</t>
    </rPh>
    <rPh sb="2" eb="4">
      <t>コウジ</t>
    </rPh>
    <rPh sb="4" eb="5">
      <t>ダカ</t>
    </rPh>
    <phoneticPr fontId="2"/>
  </si>
  <si>
    <t>元請完成工事高Z2</t>
    <rPh sb="0" eb="2">
      <t>モトウ</t>
    </rPh>
    <rPh sb="2" eb="7">
      <t>カンセイコウジダカ</t>
    </rPh>
    <phoneticPr fontId="2"/>
  </si>
  <si>
    <t>技術職員数Z1</t>
    <rPh sb="0" eb="2">
      <t>ギジュツ</t>
    </rPh>
    <rPh sb="2" eb="5">
      <t>ショクインスウ</t>
    </rPh>
    <phoneticPr fontId="2"/>
  </si>
  <si>
    <t>経営規模等評価結果通知書・総合評定値通知書と同じフォーマットで印刷可能</t>
    <phoneticPr fontId="2"/>
  </si>
  <si>
    <t>出先で使用するのに最適</t>
    <rPh sb="0" eb="2">
      <t>デサキ</t>
    </rPh>
    <rPh sb="3" eb="5">
      <t>シヨウ</t>
    </rPh>
    <rPh sb="9" eb="11">
      <t>サイテキ</t>
    </rPh>
    <phoneticPr fontId="2"/>
  </si>
  <si>
    <t>003999</t>
    <phoneticPr fontId="2"/>
  </si>
  <si>
    <t>舗</t>
    <rPh sb="0" eb="1">
      <t>ホ</t>
    </rPh>
    <phoneticPr fontId="2"/>
  </si>
  <si>
    <t>舗　　装</t>
    <rPh sb="0" eb="1">
      <t>ホ</t>
    </rPh>
    <rPh sb="3" eb="4">
      <t>ソウ</t>
    </rPh>
    <phoneticPr fontId="2"/>
  </si>
  <si>
    <t>舗装</t>
    <rPh sb="0" eb="2">
      <t>ホソウ</t>
    </rPh>
    <phoneticPr fontId="2"/>
  </si>
  <si>
    <t>平成30年4月</t>
    <rPh sb="0" eb="2">
      <t>ヘイセイ</t>
    </rPh>
    <rPh sb="4" eb="5">
      <t>ネン</t>
    </rPh>
    <rPh sb="6" eb="7">
      <t>ガツ</t>
    </rPh>
    <phoneticPr fontId="2"/>
  </si>
  <si>
    <t>登録商標です。</t>
    <phoneticPr fontId="2"/>
  </si>
  <si>
    <t>Microsoft Windows　Microsoft Excel　は、Microsoft Corporationの米国およびその他の国における</t>
    <phoneticPr fontId="2"/>
  </si>
  <si>
    <t>令和</t>
    <rPh sb="0" eb="2">
      <t>レイワ</t>
    </rPh>
    <phoneticPr fontId="2"/>
  </si>
  <si>
    <t>このソフトは有料 \5,500（税込）です。</t>
    <phoneticPr fontId="2"/>
  </si>
  <si>
    <t>お手数でも料金　\5,500（税込）をお振込みください。</t>
    <phoneticPr fontId="2"/>
  </si>
  <si>
    <t>審査対象
事業年度</t>
    <rPh sb="0" eb="2">
      <t>シンサ</t>
    </rPh>
    <rPh sb="2" eb="4">
      <t>タイショウ</t>
    </rPh>
    <rPh sb="5" eb="7">
      <t>ジギョウ</t>
    </rPh>
    <rPh sb="7" eb="9">
      <t>ネンド</t>
    </rPh>
    <phoneticPr fontId="2"/>
  </si>
  <si>
    <t>前年度</t>
    <rPh sb="0" eb="3">
      <t>ゼンネンド</t>
    </rPh>
    <phoneticPr fontId="2"/>
  </si>
  <si>
    <t>前々年度</t>
    <rPh sb="0" eb="2">
      <t>ゼンゼン</t>
    </rPh>
    <rPh sb="2" eb="4">
      <t>ネンド</t>
    </rPh>
    <phoneticPr fontId="2"/>
  </si>
  <si>
    <t>年間平均完成工事高　（単位：千円）</t>
    <phoneticPr fontId="2"/>
  </si>
  <si>
    <t>年間平均元請完成工事高　（単位：千円）</t>
    <phoneticPr fontId="2"/>
  </si>
  <si>
    <t>審査対象</t>
    <rPh sb="0" eb="2">
      <t>シンサ</t>
    </rPh>
    <rPh sb="2" eb="4">
      <t>タイショウ</t>
    </rPh>
    <phoneticPr fontId="2"/>
  </si>
  <si>
    <t>事業年度</t>
    <rPh sb="0" eb="2">
      <t>ジギョウ</t>
    </rPh>
    <rPh sb="2" eb="4">
      <t>ネンド</t>
    </rPh>
    <phoneticPr fontId="2"/>
  </si>
  <si>
    <t>4パターンに使用</t>
    <rPh sb="6" eb="8">
      <t>シヨウ</t>
    </rPh>
    <phoneticPr fontId="2"/>
  </si>
  <si>
    <t>許可業種</t>
    <rPh sb="0" eb="2">
      <t>キョカ</t>
    </rPh>
    <rPh sb="2" eb="4">
      <t>ギョウシュ</t>
    </rPh>
    <phoneticPr fontId="2"/>
  </si>
  <si>
    <t>(</t>
    <phoneticPr fontId="2"/>
  </si>
  <si>
    <t>)</t>
    <phoneticPr fontId="2"/>
  </si>
  <si>
    <t>青森県西津軽郡深浦町</t>
    <phoneticPr fontId="2"/>
  </si>
  <si>
    <t>大字深浦字苗代沢３０－２６</t>
    <phoneticPr fontId="2"/>
  </si>
  <si>
    <t>空白数</t>
    <rPh sb="0" eb="2">
      <t>クウハク</t>
    </rPh>
    <rPh sb="2" eb="3">
      <t>スウ</t>
    </rPh>
    <phoneticPr fontId="2"/>
  </si>
  <si>
    <t>経審ソフト</t>
    <rPh sb="0" eb="2">
      <t>ケイシン</t>
    </rPh>
    <phoneticPr fontId="2"/>
  </si>
  <si>
    <t>完成工事高（２期平均・３期平均）自己資本額（基準決算・２期平均）の４通りの各評点パターンを</t>
    <rPh sb="7" eb="8">
      <t>キ</t>
    </rPh>
    <rPh sb="8" eb="10">
      <t>ヘイキン</t>
    </rPh>
    <rPh sb="12" eb="13">
      <t>キ</t>
    </rPh>
    <rPh sb="13" eb="15">
      <t>ヘイキン</t>
    </rPh>
    <rPh sb="22" eb="24">
      <t>キジュン</t>
    </rPh>
    <rPh sb="24" eb="26">
      <t>ケッサン</t>
    </rPh>
    <rPh sb="28" eb="29">
      <t>キ</t>
    </rPh>
    <rPh sb="29" eb="31">
      <t>ヘイキン</t>
    </rPh>
    <phoneticPr fontId="2"/>
  </si>
  <si>
    <t>シミュレーション＆一覧表示</t>
    <phoneticPr fontId="2"/>
  </si>
  <si>
    <t>なお、請求書、領収書等が必要な方は、申込時にメッセージ欄に記載するか、</t>
    <rPh sb="18" eb="20">
      <t>モウシコミ</t>
    </rPh>
    <rPh sb="20" eb="21">
      <t>ジ</t>
    </rPh>
    <rPh sb="27" eb="28">
      <t>ラン</t>
    </rPh>
    <rPh sb="29" eb="31">
      <t>キサイ</t>
    </rPh>
    <phoneticPr fontId="2"/>
  </si>
  <si>
    <t>メール等でご連絡いただければ、PDFで送信又は、郵送いたします。</t>
    <rPh sb="3" eb="4">
      <t>トウ</t>
    </rPh>
    <phoneticPr fontId="2"/>
  </si>
  <si>
    <t>技術者</t>
    <rPh sb="0" eb="3">
      <t>ギジュツシャ</t>
    </rPh>
    <phoneticPr fontId="2"/>
  </si>
  <si>
    <t>技能者</t>
    <rPh sb="0" eb="3">
      <t>ギノウシャ</t>
    </rPh>
    <phoneticPr fontId="2"/>
  </si>
  <si>
    <t>レベル４</t>
    <phoneticPr fontId="2"/>
  </si>
  <si>
    <t>レベル３</t>
    <phoneticPr fontId="2"/>
  </si>
  <si>
    <t>【使用方法】</t>
    <rPh sb="1" eb="3">
      <t>シヨウ</t>
    </rPh>
    <rPh sb="3" eb="5">
      <t>ホウホウ</t>
    </rPh>
    <phoneticPr fontId="2"/>
  </si>
  <si>
    <t>「基本事項」シート、「完成工事高」シート、「元請完成工事高」シート、「技術者」シート、</t>
  </si>
  <si>
    <t>「経営状況・自己資本額、平均利益額」シート、「社会性等シート」にデータを入力してください。</t>
  </si>
  <si>
    <t>入力セル</t>
    <rPh sb="0" eb="2">
      <t>ニュウリョク</t>
    </rPh>
    <phoneticPr fontId="2"/>
  </si>
  <si>
    <t>プルダウンメニュー</t>
    <phoneticPr fontId="2"/>
  </si>
  <si>
    <t>自動計算セル</t>
    <rPh sb="0" eb="2">
      <t>ジドウ</t>
    </rPh>
    <rPh sb="2" eb="4">
      <t>ケイサン</t>
    </rPh>
    <phoneticPr fontId="2"/>
  </si>
  <si>
    <t>最高点・最低点</t>
    <rPh sb="0" eb="3">
      <t>サイコウテン</t>
    </rPh>
    <rPh sb="4" eb="7">
      <t>サイテイテン</t>
    </rPh>
    <phoneticPr fontId="2"/>
  </si>
  <si>
    <t>この色のセルにデータを入力します。</t>
    <rPh sb="2" eb="3">
      <t>イロ</t>
    </rPh>
    <rPh sb="11" eb="13">
      <t>ニュウリョク</t>
    </rPh>
    <phoneticPr fontId="2"/>
  </si>
  <si>
    <t>該当するデータを選択します。</t>
    <rPh sb="0" eb="2">
      <t>ガイトウ</t>
    </rPh>
    <rPh sb="8" eb="10">
      <t>センタク</t>
    </rPh>
    <phoneticPr fontId="2"/>
  </si>
  <si>
    <t>各評点の最高点、最低点です。</t>
    <rPh sb="0" eb="1">
      <t>カク</t>
    </rPh>
    <rPh sb="1" eb="3">
      <t>ヒョウテン</t>
    </rPh>
    <rPh sb="4" eb="7">
      <t>サイコウテン</t>
    </rPh>
    <rPh sb="8" eb="11">
      <t>サイテイテン</t>
    </rPh>
    <phoneticPr fontId="2"/>
  </si>
  <si>
    <t>工種ごとの各評点です。評点の変化をすぐ確認できます。</t>
    <rPh sb="0" eb="2">
      <t>コウシュ</t>
    </rPh>
    <rPh sb="5" eb="6">
      <t>カク</t>
    </rPh>
    <rPh sb="6" eb="8">
      <t>ヒョウテン</t>
    </rPh>
    <phoneticPr fontId="2"/>
  </si>
  <si>
    <t>このソフトの説明です。</t>
    <rPh sb="6" eb="8">
      <t>セツメイ</t>
    </rPh>
    <phoneticPr fontId="2"/>
  </si>
  <si>
    <t>今見ているシートです。</t>
    <rPh sb="0" eb="1">
      <t>イマ</t>
    </rPh>
    <rPh sb="1" eb="2">
      <t>ミ</t>
    </rPh>
    <phoneticPr fontId="2"/>
  </si>
  <si>
    <t>製品版への変更パスワードを入力するシートです。</t>
    <rPh sb="0" eb="3">
      <t>セイヒンバン</t>
    </rPh>
    <rPh sb="5" eb="7">
      <t>ヘンコウ</t>
    </rPh>
    <rPh sb="13" eb="15">
      <t>ニュウリョク</t>
    </rPh>
    <phoneticPr fontId="2"/>
  </si>
  <si>
    <t>「経営状況・自己資本額、平均利益額」</t>
    <phoneticPr fontId="2"/>
  </si>
  <si>
    <t>「経営事項審査結果通知書」</t>
    <phoneticPr fontId="2"/>
  </si>
  <si>
    <t>【各シートの説明】</t>
    <rPh sb="1" eb="2">
      <t>カク</t>
    </rPh>
    <rPh sb="6" eb="8">
      <t>セツメイ</t>
    </rPh>
    <phoneticPr fontId="2"/>
  </si>
  <si>
    <t>「最初にお読みください」</t>
    <rPh sb="1" eb="3">
      <t>サイショ</t>
    </rPh>
    <rPh sb="5" eb="6">
      <t>ヨ</t>
    </rPh>
    <phoneticPr fontId="2"/>
  </si>
  <si>
    <t>「使用方法」</t>
    <rPh sb="1" eb="3">
      <t>シヨウ</t>
    </rPh>
    <rPh sb="3" eb="5">
      <t>ホウホウ</t>
    </rPh>
    <phoneticPr fontId="2"/>
  </si>
  <si>
    <t>「パスワード」</t>
    <phoneticPr fontId="2"/>
  </si>
  <si>
    <t>「基本事項」</t>
    <rPh sb="1" eb="3">
      <t>キホン</t>
    </rPh>
    <rPh sb="3" eb="5">
      <t>ジコウ</t>
    </rPh>
    <phoneticPr fontId="2"/>
  </si>
  <si>
    <t>「完成工事高」</t>
    <rPh sb="1" eb="3">
      <t>カンセイ</t>
    </rPh>
    <rPh sb="3" eb="5">
      <t>コウジ</t>
    </rPh>
    <rPh sb="5" eb="6">
      <t>ダカ</t>
    </rPh>
    <phoneticPr fontId="2"/>
  </si>
  <si>
    <t>「元請完成工事高」</t>
    <rPh sb="1" eb="3">
      <t>モトウ</t>
    </rPh>
    <rPh sb="3" eb="5">
      <t>カンセイ</t>
    </rPh>
    <rPh sb="5" eb="7">
      <t>コウジ</t>
    </rPh>
    <rPh sb="7" eb="8">
      <t>ダカ</t>
    </rPh>
    <phoneticPr fontId="2"/>
  </si>
  <si>
    <t>「技術者」</t>
    <rPh sb="1" eb="4">
      <t>ギジュツシャ</t>
    </rPh>
    <phoneticPr fontId="2"/>
  </si>
  <si>
    <t>「社会性等」</t>
    <rPh sb="1" eb="4">
      <t>シャカイセイ</t>
    </rPh>
    <rPh sb="4" eb="5">
      <t>トウ</t>
    </rPh>
    <phoneticPr fontId="2"/>
  </si>
  <si>
    <t>「4パターン対比表」</t>
    <phoneticPr fontId="2"/>
  </si>
  <si>
    <t>４通りの評点パターンを一覧表示するシートです。（入力項目は無し）</t>
    <rPh sb="1" eb="2">
      <t>トオ</t>
    </rPh>
    <rPh sb="4" eb="6">
      <t>ヒョウテン</t>
    </rPh>
    <rPh sb="11" eb="13">
      <t>イチラン</t>
    </rPh>
    <rPh sb="13" eb="15">
      <t>ヒョウジ</t>
    </rPh>
    <rPh sb="24" eb="26">
      <t>ニュウリョク</t>
    </rPh>
    <rPh sb="26" eb="28">
      <t>コウモク</t>
    </rPh>
    <rPh sb="29" eb="30">
      <t>ナ</t>
    </rPh>
    <phoneticPr fontId="2"/>
  </si>
  <si>
    <t>【各セルの説明】</t>
    <rPh sb="1" eb="2">
      <t>カク</t>
    </rPh>
    <rPh sb="5" eb="7">
      <t>セツメイ</t>
    </rPh>
    <phoneticPr fontId="2"/>
  </si>
  <si>
    <t>会社情報等を入力するシートです。（入力必須）</t>
    <rPh sb="0" eb="2">
      <t>カイシャ</t>
    </rPh>
    <rPh sb="2" eb="4">
      <t>ジョウホウ</t>
    </rPh>
    <rPh sb="4" eb="5">
      <t>トウ</t>
    </rPh>
    <rPh sb="6" eb="8">
      <t>ニュウリョク</t>
    </rPh>
    <rPh sb="17" eb="19">
      <t>ニュウリョク</t>
    </rPh>
    <rPh sb="19" eb="21">
      <t>ヒッス</t>
    </rPh>
    <phoneticPr fontId="2"/>
  </si>
  <si>
    <t>工種ごとの完成工事高を入力するシートです。（入力必須）</t>
    <rPh sb="0" eb="2">
      <t>コウシュ</t>
    </rPh>
    <rPh sb="5" eb="7">
      <t>カンセイ</t>
    </rPh>
    <rPh sb="7" eb="9">
      <t>コウジ</t>
    </rPh>
    <rPh sb="9" eb="10">
      <t>ダカ</t>
    </rPh>
    <rPh sb="11" eb="13">
      <t>ニュウリョク</t>
    </rPh>
    <rPh sb="22" eb="24">
      <t>ニュウリョク</t>
    </rPh>
    <rPh sb="24" eb="26">
      <t>ヒッス</t>
    </rPh>
    <phoneticPr fontId="2"/>
  </si>
  <si>
    <t>工種ごとの元請完成工事高を入力するシートです。（入力必須）</t>
    <rPh sb="0" eb="2">
      <t>コウシュ</t>
    </rPh>
    <rPh sb="5" eb="7">
      <t>モトウ</t>
    </rPh>
    <rPh sb="7" eb="9">
      <t>カンセイ</t>
    </rPh>
    <rPh sb="9" eb="11">
      <t>コウジ</t>
    </rPh>
    <rPh sb="11" eb="12">
      <t>ダカ</t>
    </rPh>
    <rPh sb="13" eb="15">
      <t>ニュウリョク</t>
    </rPh>
    <phoneticPr fontId="2"/>
  </si>
  <si>
    <t>工種ごとの技術者数を入力するシートです。（入力必須）</t>
    <rPh sb="0" eb="2">
      <t>コウシュ</t>
    </rPh>
    <rPh sb="5" eb="8">
      <t>ギジュツシャ</t>
    </rPh>
    <rPh sb="8" eb="9">
      <t>スウ</t>
    </rPh>
    <rPh sb="10" eb="12">
      <t>ニュウリョク</t>
    </rPh>
    <phoneticPr fontId="2"/>
  </si>
  <si>
    <t>決算届出書の金額を入力するシートです。（入力必須）</t>
    <rPh sb="0" eb="2">
      <t>ケッサン</t>
    </rPh>
    <rPh sb="2" eb="5">
      <t>トドケデショ</t>
    </rPh>
    <rPh sb="6" eb="8">
      <t>キンガク</t>
    </rPh>
    <rPh sb="9" eb="11">
      <t>ニュウリョク</t>
    </rPh>
    <phoneticPr fontId="2"/>
  </si>
  <si>
    <t>その他の審査項目を入力するシートです。（入力必須）</t>
    <rPh sb="9" eb="11">
      <t>ニュウリョク</t>
    </rPh>
    <phoneticPr fontId="2"/>
  </si>
  <si>
    <t>経営事項審査結果通知書を表示するシートです。</t>
    <rPh sb="0" eb="2">
      <t>ケイエイ</t>
    </rPh>
    <rPh sb="2" eb="4">
      <t>ジコウ</t>
    </rPh>
    <rPh sb="4" eb="6">
      <t>シンサ</t>
    </rPh>
    <rPh sb="6" eb="8">
      <t>ケッカ</t>
    </rPh>
    <rPh sb="8" eb="11">
      <t>ツウチショ</t>
    </rPh>
    <rPh sb="12" eb="14">
      <t>ヒョウジ</t>
    </rPh>
    <phoneticPr fontId="2"/>
  </si>
  <si>
    <t>（あらかじめサンプルデータが入力されていますので、クリアーしてお使い下さい）</t>
  </si>
  <si>
    <t>パスワード入力セル</t>
    <rPh sb="5" eb="7">
      <t>ニュウリョク</t>
    </rPh>
    <phoneticPr fontId="2"/>
  </si>
  <si>
    <t>製品版変更パスワードを入力します。</t>
    <rPh sb="0" eb="3">
      <t>セイヒンバン</t>
    </rPh>
    <rPh sb="3" eb="5">
      <t>ヘンコウ</t>
    </rPh>
    <rPh sb="11" eb="13">
      <t>ニュウリョク</t>
    </rPh>
    <phoneticPr fontId="2"/>
  </si>
  <si>
    <t>評点や数値等を自動計算して表示します。</t>
    <rPh sb="0" eb="2">
      <t>ヒョウテン</t>
    </rPh>
    <rPh sb="3" eb="5">
      <t>スウチ</t>
    </rPh>
    <rPh sb="5" eb="6">
      <t>トウ</t>
    </rPh>
    <rPh sb="7" eb="9">
      <t>ジドウ</t>
    </rPh>
    <rPh sb="9" eb="11">
      <t>ケイサン</t>
    </rPh>
    <rPh sb="13" eb="15">
      <t>ヒョウジ</t>
    </rPh>
    <phoneticPr fontId="2"/>
  </si>
  <si>
    <t>監理技術者</t>
    <rPh sb="0" eb="2">
      <t>カンリ</t>
    </rPh>
    <rPh sb="2" eb="5">
      <t>ギジュツシャ</t>
    </rPh>
    <phoneticPr fontId="2"/>
  </si>
  <si>
    <t>補佐</t>
    <rPh sb="0" eb="2">
      <t>ホサ</t>
    </rPh>
    <phoneticPr fontId="2"/>
  </si>
  <si>
    <t>監理補佐</t>
    <rPh sb="0" eb="2">
      <t>カンリ</t>
    </rPh>
    <rPh sb="2" eb="4">
      <t>ホサ</t>
    </rPh>
    <phoneticPr fontId="2"/>
  </si>
  <si>
    <t>単独決算</t>
    <rPh sb="0" eb="2">
      <t>タンドク</t>
    </rPh>
    <rPh sb="2" eb="4">
      <t>ケッサン</t>
    </rPh>
    <phoneticPr fontId="2"/>
  </si>
  <si>
    <t>ＣＰＤ単位取得数</t>
    <rPh sb="3" eb="5">
      <t>タンイ</t>
    </rPh>
    <rPh sb="5" eb="8">
      <t>シュトクスウ</t>
    </rPh>
    <phoneticPr fontId="2"/>
  </si>
  <si>
    <t>技術者数</t>
    <rPh sb="0" eb="3">
      <t>ギジュツシャ</t>
    </rPh>
    <rPh sb="3" eb="4">
      <t>スウ</t>
    </rPh>
    <phoneticPr fontId="2"/>
  </si>
  <si>
    <t>技能者数</t>
    <rPh sb="0" eb="3">
      <t>ギノウシャ</t>
    </rPh>
    <rPh sb="3" eb="4">
      <t>スウ</t>
    </rPh>
    <phoneticPr fontId="2"/>
  </si>
  <si>
    <t>控除対象者数</t>
    <rPh sb="0" eb="2">
      <t>コウジョ</t>
    </rPh>
    <rPh sb="2" eb="5">
      <t>タイショウシャ</t>
    </rPh>
    <rPh sb="5" eb="6">
      <t>スウ</t>
    </rPh>
    <phoneticPr fontId="2"/>
  </si>
  <si>
    <t>知識及び技術又は技能の向上に関する取組の状況</t>
    <rPh sb="0" eb="2">
      <t>チシキ</t>
    </rPh>
    <rPh sb="2" eb="3">
      <t>オヨ</t>
    </rPh>
    <rPh sb="4" eb="6">
      <t>ギジュツ</t>
    </rPh>
    <rPh sb="6" eb="7">
      <t>マタ</t>
    </rPh>
    <rPh sb="8" eb="10">
      <t>ギノウ</t>
    </rPh>
    <rPh sb="11" eb="13">
      <t>コウジョウ</t>
    </rPh>
    <rPh sb="14" eb="15">
      <t>カン</t>
    </rPh>
    <rPh sb="17" eb="19">
      <t>トリクミ</t>
    </rPh>
    <rPh sb="20" eb="22">
      <t>ジョウキョウ</t>
    </rPh>
    <phoneticPr fontId="2"/>
  </si>
  <si>
    <t>単位</t>
    <rPh sb="0" eb="2">
      <t>タンイ</t>
    </rPh>
    <phoneticPr fontId="2"/>
  </si>
  <si>
    <t>令和3年4月</t>
    <rPh sb="0" eb="2">
      <t>レイワ</t>
    </rPh>
    <rPh sb="3" eb="4">
      <t>ネン</t>
    </rPh>
    <rPh sb="5" eb="6">
      <t>ガツ</t>
    </rPh>
    <phoneticPr fontId="2"/>
  </si>
  <si>
    <t>W10　計算数値</t>
    <rPh sb="4" eb="6">
      <t>ケイサン</t>
    </rPh>
    <rPh sb="6" eb="8">
      <t>スウチ</t>
    </rPh>
    <phoneticPr fontId="2"/>
  </si>
  <si>
    <t>Z3技術者点</t>
    <rPh sb="2" eb="5">
      <t>ギジュツシャ</t>
    </rPh>
    <rPh sb="5" eb="6">
      <t>テン</t>
    </rPh>
    <phoneticPr fontId="2"/>
  </si>
  <si>
    <t>Z4技能者点</t>
    <rPh sb="2" eb="5">
      <t>ギノウシャ</t>
    </rPh>
    <rPh sb="5" eb="6">
      <t>テン</t>
    </rPh>
    <phoneticPr fontId="2"/>
  </si>
  <si>
    <t>CPD取得状況評価</t>
    <rPh sb="3" eb="5">
      <t>シュトク</t>
    </rPh>
    <rPh sb="5" eb="7">
      <t>ジョウキョウ</t>
    </rPh>
    <rPh sb="7" eb="9">
      <t>ヒョウカ</t>
    </rPh>
    <phoneticPr fontId="2"/>
  </si>
  <si>
    <t>CCUSﾚﾍﾞﾙｱｯﾌﾟ評価</t>
    <rPh sb="12" eb="14">
      <t>ヒョウカ</t>
    </rPh>
    <phoneticPr fontId="2"/>
  </si>
  <si>
    <t>公益社団法人空気調和・衛生工学会</t>
    <phoneticPr fontId="2"/>
  </si>
  <si>
    <t>一般財団法人建設業振興基金</t>
    <phoneticPr fontId="2"/>
  </si>
  <si>
    <t>一般社団法人建設コンサルタンツ協会</t>
    <phoneticPr fontId="2"/>
  </si>
  <si>
    <t>一般社団法人交通工学研究会</t>
    <phoneticPr fontId="2"/>
  </si>
  <si>
    <t>公益社団法人地盤工学会</t>
    <phoneticPr fontId="2"/>
  </si>
  <si>
    <t>公益社団法人森林・自然環境技術教育研究センター</t>
    <phoneticPr fontId="2"/>
  </si>
  <si>
    <t>公益社団法人全国上下水道コンサルタント協会</t>
    <phoneticPr fontId="2"/>
  </si>
  <si>
    <t>一般社団法人全国測量設計業協会連合会</t>
    <phoneticPr fontId="2"/>
  </si>
  <si>
    <t>一般社団法人全国土木施工管理技士会連合会</t>
    <phoneticPr fontId="2"/>
  </si>
  <si>
    <t>一般社団法人全日本建設技術協会</t>
    <phoneticPr fontId="2"/>
  </si>
  <si>
    <t>土質・地質技術者生涯学習協議会</t>
    <phoneticPr fontId="2"/>
  </si>
  <si>
    <t>公益社団法人土木学会</t>
    <phoneticPr fontId="2"/>
  </si>
  <si>
    <t>一般社団法人日本環境アセスメント協会</t>
    <phoneticPr fontId="2"/>
  </si>
  <si>
    <t>公益社団法人日本技術士会</t>
    <phoneticPr fontId="2"/>
  </si>
  <si>
    <t>公益社団法人日本建築士会連合会</t>
    <phoneticPr fontId="2"/>
  </si>
  <si>
    <t>公益社団法人日本造園学会</t>
    <phoneticPr fontId="2"/>
  </si>
  <si>
    <t>公益社団法人日本都市計画学会</t>
    <phoneticPr fontId="2"/>
  </si>
  <si>
    <t>公益社団法人農業農村工学会</t>
    <phoneticPr fontId="2"/>
  </si>
  <si>
    <t>一般社団法人日本建築士事務所協会連合会</t>
    <phoneticPr fontId="2"/>
  </si>
  <si>
    <t>公益社団法人日本建築家協会</t>
    <phoneticPr fontId="2"/>
  </si>
  <si>
    <t>一般社団法人日本建設業連合会</t>
    <phoneticPr fontId="2"/>
  </si>
  <si>
    <t>一般社団法人日本建築学会</t>
    <phoneticPr fontId="2"/>
  </si>
  <si>
    <t>一般社団法人建築設備技術者協会</t>
    <phoneticPr fontId="2"/>
  </si>
  <si>
    <t>一般社団法人電気設備学会</t>
    <phoneticPr fontId="2"/>
  </si>
  <si>
    <t>一般社団法人日本設備設計事務所協会連合会</t>
    <phoneticPr fontId="2"/>
  </si>
  <si>
    <t>公益財団法人建築技術教育普及センター</t>
    <phoneticPr fontId="2"/>
  </si>
  <si>
    <t>一般社団法人日本建築構造技術者協会</t>
    <phoneticPr fontId="2"/>
  </si>
  <si>
    <t>取得
CPD</t>
    <rPh sb="0" eb="2">
      <t>シュトク</t>
    </rPh>
    <phoneticPr fontId="2"/>
  </si>
  <si>
    <t>技術者_1</t>
    <rPh sb="0" eb="3">
      <t>ギジュツシャ</t>
    </rPh>
    <phoneticPr fontId="2"/>
  </si>
  <si>
    <t>技術者_3</t>
    <rPh sb="0" eb="3">
      <t>ギジュツシャ</t>
    </rPh>
    <phoneticPr fontId="2"/>
  </si>
  <si>
    <t>技術者_4</t>
    <rPh sb="0" eb="3">
      <t>ギジュツシャ</t>
    </rPh>
    <phoneticPr fontId="2"/>
  </si>
  <si>
    <t>技術者_5</t>
    <rPh sb="0" eb="3">
      <t>ギジュツシャ</t>
    </rPh>
    <phoneticPr fontId="2"/>
  </si>
  <si>
    <t>技術者_6</t>
    <rPh sb="0" eb="3">
      <t>ギジュツシャ</t>
    </rPh>
    <phoneticPr fontId="2"/>
  </si>
  <si>
    <t>技術者_7</t>
    <rPh sb="0" eb="3">
      <t>ギジュツシャ</t>
    </rPh>
    <phoneticPr fontId="2"/>
  </si>
  <si>
    <t>技術者_8</t>
    <rPh sb="0" eb="3">
      <t>ギジュツシャ</t>
    </rPh>
    <phoneticPr fontId="2"/>
  </si>
  <si>
    <t>技術者_9</t>
    <rPh sb="0" eb="3">
      <t>ギジュツシャ</t>
    </rPh>
    <phoneticPr fontId="2"/>
  </si>
  <si>
    <t>技術者_10</t>
    <rPh sb="0" eb="3">
      <t>ギジュツシャ</t>
    </rPh>
    <phoneticPr fontId="2"/>
  </si>
  <si>
    <t>技術者_2</t>
    <rPh sb="0" eb="3">
      <t>ギジュツシャ</t>
    </rPh>
    <phoneticPr fontId="2"/>
  </si>
  <si>
    <t>技術者_11</t>
    <rPh sb="0" eb="3">
      <t>ギジュツシャ</t>
    </rPh>
    <phoneticPr fontId="2"/>
  </si>
  <si>
    <t>技術者_12</t>
    <rPh sb="0" eb="3">
      <t>ギジュツシャ</t>
    </rPh>
    <phoneticPr fontId="2"/>
  </si>
  <si>
    <t>技術者_13</t>
    <rPh sb="0" eb="3">
      <t>ギジュツシャ</t>
    </rPh>
    <phoneticPr fontId="2"/>
  </si>
  <si>
    <t>技術者_14</t>
    <rPh sb="0" eb="3">
      <t>ギジュツシャ</t>
    </rPh>
    <phoneticPr fontId="2"/>
  </si>
  <si>
    <t>技術者_15</t>
    <rPh sb="0" eb="3">
      <t>ギジュツシャ</t>
    </rPh>
    <phoneticPr fontId="2"/>
  </si>
  <si>
    <t>技術者_16</t>
    <rPh sb="0" eb="3">
      <t>ギジュツシャ</t>
    </rPh>
    <phoneticPr fontId="2"/>
  </si>
  <si>
    <t>技術者_17</t>
    <rPh sb="0" eb="3">
      <t>ギジュツシャ</t>
    </rPh>
    <phoneticPr fontId="2"/>
  </si>
  <si>
    <t>技術者_18</t>
    <rPh sb="0" eb="3">
      <t>ギジュツシャ</t>
    </rPh>
    <phoneticPr fontId="2"/>
  </si>
  <si>
    <t>技術者_19</t>
    <rPh sb="0" eb="3">
      <t>ギジュツシャ</t>
    </rPh>
    <phoneticPr fontId="2"/>
  </si>
  <si>
    <t>技術者_20</t>
    <rPh sb="0" eb="3">
      <t>ギジュツシャ</t>
    </rPh>
    <phoneticPr fontId="2"/>
  </si>
  <si>
    <t>※使用方法</t>
    <rPh sb="1" eb="3">
      <t>シヨウ</t>
    </rPh>
    <rPh sb="3" eb="5">
      <t>ホウホウ</t>
    </rPh>
    <phoneticPr fontId="2"/>
  </si>
  <si>
    <t>CPD
単位</t>
    <rPh sb="0" eb="6">
      <t>タンイ</t>
    </rPh>
    <phoneticPr fontId="2"/>
  </si>
  <si>
    <t>　審査対象年に各技術者が認定CPD団体毎に取得したCPD単位数を「取得CPD」欄に入力します。</t>
    <rPh sb="1" eb="3">
      <t>シンサ</t>
    </rPh>
    <rPh sb="3" eb="5">
      <t>タイショウ</t>
    </rPh>
    <rPh sb="5" eb="6">
      <t>ネン</t>
    </rPh>
    <rPh sb="12" eb="14">
      <t>ニンテイ</t>
    </rPh>
    <rPh sb="17" eb="19">
      <t>ダンタイ</t>
    </rPh>
    <rPh sb="19" eb="20">
      <t>ゴト</t>
    </rPh>
    <rPh sb="21" eb="23">
      <t>シュトク</t>
    </rPh>
    <rPh sb="28" eb="31">
      <t>タンイスウ</t>
    </rPh>
    <rPh sb="33" eb="35">
      <t>シュトク</t>
    </rPh>
    <rPh sb="39" eb="40">
      <t>ラン</t>
    </rPh>
    <rPh sb="41" eb="43">
      <t>ニュウリョク</t>
    </rPh>
    <phoneticPr fontId="2"/>
  </si>
  <si>
    <t>CPD単位取得数の合計</t>
    <rPh sb="3" eb="5">
      <t>タンイ</t>
    </rPh>
    <rPh sb="5" eb="8">
      <t>シュトクスウ</t>
    </rPh>
    <rPh sb="9" eb="10">
      <t>ゴウ</t>
    </rPh>
    <rPh sb="10" eb="11">
      <t>ケイ</t>
    </rPh>
    <phoneticPr fontId="2"/>
  </si>
  <si>
    <t>　認定CPD団体毎に換算したCPD単位が「CPD単位」欄に表示されます。</t>
    <rPh sb="10" eb="12">
      <t>カンザン</t>
    </rPh>
    <rPh sb="17" eb="19">
      <t>タンイ</t>
    </rPh>
    <rPh sb="24" eb="26">
      <t>タンイ</t>
    </rPh>
    <rPh sb="29" eb="31">
      <t>ヒョウジ</t>
    </rPh>
    <phoneticPr fontId="2"/>
  </si>
  <si>
    <t>技術者_21</t>
    <rPh sb="0" eb="3">
      <t>ギジュツシャ</t>
    </rPh>
    <phoneticPr fontId="2"/>
  </si>
  <si>
    <t>技術者_22</t>
    <rPh sb="0" eb="3">
      <t>ギジュツシャ</t>
    </rPh>
    <phoneticPr fontId="2"/>
  </si>
  <si>
    <t>技術者_23</t>
    <rPh sb="0" eb="3">
      <t>ギジュツシャ</t>
    </rPh>
    <phoneticPr fontId="2"/>
  </si>
  <si>
    <t>技術者_24</t>
    <rPh sb="0" eb="3">
      <t>ギジュツシャ</t>
    </rPh>
    <phoneticPr fontId="2"/>
  </si>
  <si>
    <t>技術者_25</t>
    <rPh sb="0" eb="3">
      <t>ギジュツシャ</t>
    </rPh>
    <phoneticPr fontId="2"/>
  </si>
  <si>
    <t>技術者_26</t>
    <rPh sb="0" eb="3">
      <t>ギジュツシャ</t>
    </rPh>
    <phoneticPr fontId="2"/>
  </si>
  <si>
    <t>技術者_27</t>
    <rPh sb="0" eb="3">
      <t>ギジュツシャ</t>
    </rPh>
    <phoneticPr fontId="2"/>
  </si>
  <si>
    <t>技術者_28</t>
    <rPh sb="0" eb="3">
      <t>ギジュツシャ</t>
    </rPh>
    <phoneticPr fontId="2"/>
  </si>
  <si>
    <t>技術者_29</t>
    <rPh sb="0" eb="3">
      <t>ギジュツシャ</t>
    </rPh>
    <phoneticPr fontId="2"/>
  </si>
  <si>
    <t>技術者_30</t>
    <rPh sb="0" eb="3">
      <t>ギジュツシャ</t>
    </rPh>
    <phoneticPr fontId="2"/>
  </si>
  <si>
    <t>　技術者1人当たりの上限は30単位です。30人の技術者の「CPD単位取得数の合計」がわかります。</t>
    <rPh sb="22" eb="23">
      <t>ニン</t>
    </rPh>
    <rPh sb="24" eb="27">
      <t>ギジュツシャ</t>
    </rPh>
    <rPh sb="32" eb="34">
      <t>タンイ</t>
    </rPh>
    <rPh sb="34" eb="37">
      <t>シュトクスウ</t>
    </rPh>
    <rPh sb="38" eb="40">
      <t>ゴウケイ</t>
    </rPh>
    <phoneticPr fontId="2"/>
  </si>
  <si>
    <t>30点
換算</t>
    <phoneticPr fontId="2"/>
  </si>
  <si>
    <t>付与団体　（告示別表第１８）</t>
    <rPh sb="0" eb="2">
      <t>フヨ</t>
    </rPh>
    <rPh sb="2" eb="4">
      <t>ダンタイ</t>
    </rPh>
    <rPh sb="6" eb="8">
      <t>コクジ</t>
    </rPh>
    <rPh sb="8" eb="10">
      <t>ベッピョウ</t>
    </rPh>
    <rPh sb="10" eb="11">
      <t>ダイ</t>
    </rPh>
    <phoneticPr fontId="2"/>
  </si>
  <si>
    <t>控除対象者数</t>
    <rPh sb="0" eb="2">
      <t>コウジョ</t>
    </rPh>
    <rPh sb="2" eb="4">
      <t>タイショウ</t>
    </rPh>
    <rPh sb="4" eb="5">
      <t>シャ</t>
    </rPh>
    <rPh sb="5" eb="6">
      <t>スウ</t>
    </rPh>
    <phoneticPr fontId="2"/>
  </si>
  <si>
    <t>CPD単位換算計算表（30人用）</t>
    <rPh sb="3" eb="5">
      <t>タンイ</t>
    </rPh>
    <rPh sb="5" eb="7">
      <t>カンサン</t>
    </rPh>
    <rPh sb="7" eb="10">
      <t>ケイサンヒョウ</t>
    </rPh>
    <rPh sb="13" eb="15">
      <t>ニンヨウ</t>
    </rPh>
    <phoneticPr fontId="2"/>
  </si>
  <si>
    <t>①</t>
    <phoneticPr fontId="2"/>
  </si>
  <si>
    <t>【主な改正内容】</t>
    <rPh sb="1" eb="2">
      <t>オモ</t>
    </rPh>
    <rPh sb="3" eb="5">
      <t>カイセイ</t>
    </rPh>
    <rPh sb="5" eb="7">
      <t>ナイヨウ</t>
    </rPh>
    <phoneticPr fontId="2"/>
  </si>
  <si>
    <t>②</t>
    <phoneticPr fontId="2"/>
  </si>
  <si>
    <t>③</t>
    <phoneticPr fontId="2"/>
  </si>
  <si>
    <t>④</t>
    <phoneticPr fontId="2"/>
  </si>
  <si>
    <t>※より詳細な改正内容や具体的な評点の計算方法については →</t>
    <rPh sb="3" eb="5">
      <t>ショウサイ</t>
    </rPh>
    <rPh sb="6" eb="8">
      <t>カイセイ</t>
    </rPh>
    <rPh sb="8" eb="10">
      <t>ナイヨウ</t>
    </rPh>
    <rPh sb="11" eb="14">
      <t>グタイテキ</t>
    </rPh>
    <rPh sb="15" eb="17">
      <t>ヒョウテン</t>
    </rPh>
    <rPh sb="18" eb="20">
      <t>ケイサン</t>
    </rPh>
    <rPh sb="20" eb="22">
      <t>ホウホウ</t>
    </rPh>
    <phoneticPr fontId="2"/>
  </si>
  <si>
    <t>こちら参照してください</t>
    <rPh sb="3" eb="5">
      <t>サンショウ</t>
    </rPh>
    <phoneticPr fontId="2"/>
  </si>
  <si>
    <t>0501.1</t>
    <phoneticPr fontId="2"/>
  </si>
  <si>
    <t>操作が簡単で低価格高機能な令和５年１月改正対応　経営事項審査評点シミュレーションソフト</t>
    <rPh sb="0" eb="2">
      <t>ソウサ</t>
    </rPh>
    <rPh sb="3" eb="5">
      <t>カンタン</t>
    </rPh>
    <rPh sb="6" eb="9">
      <t>テイカカク</t>
    </rPh>
    <rPh sb="9" eb="12">
      <t>コウキノウ</t>
    </rPh>
    <rPh sb="13" eb="15">
      <t>レイワ</t>
    </rPh>
    <phoneticPr fontId="2"/>
  </si>
  <si>
    <t>経営事項審査　令和５年１月改正について</t>
    <rPh sb="0" eb="2">
      <t>ケイエイ</t>
    </rPh>
    <rPh sb="2" eb="4">
      <t>ジコウ</t>
    </rPh>
    <rPh sb="4" eb="6">
      <t>シンサ</t>
    </rPh>
    <rPh sb="7" eb="9">
      <t>レイワ</t>
    </rPh>
    <rPh sb="10" eb="11">
      <t>ネン</t>
    </rPh>
    <rPh sb="12" eb="13">
      <t>ガツ</t>
    </rPh>
    <rPh sb="13" eb="15">
      <t>カイセイ</t>
    </rPh>
    <phoneticPr fontId="2"/>
  </si>
  <si>
    <t>W1-9 ワーク・ライフ・バランス（WLB)に関する取組の審査基準及び評点</t>
    <rPh sb="23" eb="24">
      <t>カン</t>
    </rPh>
    <rPh sb="26" eb="28">
      <t>トリクミ</t>
    </rPh>
    <rPh sb="29" eb="31">
      <t>シンサ</t>
    </rPh>
    <rPh sb="31" eb="33">
      <t>キジュン</t>
    </rPh>
    <rPh sb="33" eb="34">
      <t>オヨ</t>
    </rPh>
    <rPh sb="35" eb="37">
      <t>ヒョウテン</t>
    </rPh>
    <phoneticPr fontId="2"/>
  </si>
  <si>
    <t>W1-10 建設工事に従事する者の就業履歴を蓄積するために必要な措置の実施状況</t>
    <rPh sb="6" eb="8">
      <t>ケンセツ</t>
    </rPh>
    <rPh sb="8" eb="10">
      <t>コウジ</t>
    </rPh>
    <rPh sb="11" eb="13">
      <t>ジュウジ</t>
    </rPh>
    <rPh sb="15" eb="16">
      <t>モノ</t>
    </rPh>
    <rPh sb="17" eb="19">
      <t>シュウギョウ</t>
    </rPh>
    <rPh sb="19" eb="21">
      <t>リレキ</t>
    </rPh>
    <rPh sb="22" eb="24">
      <t>チクセキ</t>
    </rPh>
    <rPh sb="29" eb="31">
      <t>ヒツヨウ</t>
    </rPh>
    <rPh sb="32" eb="34">
      <t>ソチ</t>
    </rPh>
    <rPh sb="35" eb="37">
      <t>ジッシ</t>
    </rPh>
    <rPh sb="37" eb="39">
      <t>ジョウキョウ</t>
    </rPh>
    <phoneticPr fontId="2"/>
  </si>
  <si>
    <t>⑤</t>
    <phoneticPr fontId="2"/>
  </si>
  <si>
    <t>W8 国又は国際標準化機構が定めた規格による認証又は登録の有無の改正</t>
    <rPh sb="3" eb="4">
      <t>クニ</t>
    </rPh>
    <rPh sb="4" eb="5">
      <t>マタ</t>
    </rPh>
    <rPh sb="6" eb="8">
      <t>コクサイ</t>
    </rPh>
    <rPh sb="8" eb="11">
      <t>ヒョウジュンカ</t>
    </rPh>
    <rPh sb="11" eb="13">
      <t>キコウ</t>
    </rPh>
    <rPh sb="14" eb="15">
      <t>サダ</t>
    </rPh>
    <rPh sb="17" eb="19">
      <t>キカク</t>
    </rPh>
    <rPh sb="22" eb="24">
      <t>ニンショウ</t>
    </rPh>
    <rPh sb="24" eb="25">
      <t>マタ</t>
    </rPh>
    <rPh sb="26" eb="28">
      <t>トウロク</t>
    </rPh>
    <rPh sb="29" eb="31">
      <t>ウム</t>
    </rPh>
    <rPh sb="32" eb="34">
      <t>カイセイ</t>
    </rPh>
    <phoneticPr fontId="2"/>
  </si>
  <si>
    <t>「女性活躍推進法に基づく認定」「次世代法に基づく認定」「若者雇用促進法に基づく認定」の取得を加点</t>
    <rPh sb="1" eb="3">
      <t>ジョセイ</t>
    </rPh>
    <rPh sb="3" eb="5">
      <t>カツヤク</t>
    </rPh>
    <rPh sb="5" eb="7">
      <t>スイシン</t>
    </rPh>
    <rPh sb="7" eb="8">
      <t>ホウ</t>
    </rPh>
    <rPh sb="9" eb="10">
      <t>モト</t>
    </rPh>
    <rPh sb="12" eb="14">
      <t>ニンテイ</t>
    </rPh>
    <rPh sb="16" eb="19">
      <t>ジセダイ</t>
    </rPh>
    <rPh sb="19" eb="20">
      <t>ホウ</t>
    </rPh>
    <rPh sb="21" eb="22">
      <t>モト</t>
    </rPh>
    <rPh sb="24" eb="26">
      <t>ニンテイ</t>
    </rPh>
    <rPh sb="28" eb="30">
      <t>ワカモノ</t>
    </rPh>
    <rPh sb="30" eb="32">
      <t>コヨウ</t>
    </rPh>
    <rPh sb="32" eb="34">
      <t>ソクシン</t>
    </rPh>
    <rPh sb="34" eb="35">
      <t>ホウ</t>
    </rPh>
    <rPh sb="36" eb="37">
      <t>モト</t>
    </rPh>
    <rPh sb="39" eb="41">
      <t>ニンテイ</t>
    </rPh>
    <phoneticPr fontId="2"/>
  </si>
  <si>
    <t>建設キャリアアップシステム（ＣＣＵＳ）を現場で導入する企業を加点</t>
    <rPh sb="0" eb="2">
      <t>ケンセツ</t>
    </rPh>
    <rPh sb="20" eb="22">
      <t>ゲンバ</t>
    </rPh>
    <rPh sb="23" eb="25">
      <t>ドウニュウ</t>
    </rPh>
    <rPh sb="27" eb="29">
      <t>キギョウ</t>
    </rPh>
    <rPh sb="30" eb="32">
      <t>カテン</t>
    </rPh>
    <phoneticPr fontId="2"/>
  </si>
  <si>
    <t>W１-10の改正時期及び総合評定値算出係数の改正</t>
    <rPh sb="6" eb="8">
      <t>カイセイ</t>
    </rPh>
    <rPh sb="8" eb="10">
      <t>ジキ</t>
    </rPh>
    <rPh sb="10" eb="11">
      <t>オヨ</t>
    </rPh>
    <rPh sb="12" eb="14">
      <t>ソウゴウ</t>
    </rPh>
    <rPh sb="14" eb="16">
      <t>ヒョウテイ</t>
    </rPh>
    <rPh sb="16" eb="17">
      <t>チ</t>
    </rPh>
    <rPh sb="17" eb="19">
      <t>サンシュツ</t>
    </rPh>
    <rPh sb="19" eb="21">
      <t>ケイスウ</t>
    </rPh>
    <rPh sb="22" eb="24">
      <t>カイセイ</t>
    </rPh>
    <phoneticPr fontId="2"/>
  </si>
  <si>
    <t>W7 建設機械の保有状況の改正</t>
    <rPh sb="3" eb="5">
      <t>ケンセツ</t>
    </rPh>
    <rPh sb="5" eb="7">
      <t>キカイ</t>
    </rPh>
    <rPh sb="8" eb="10">
      <t>ホユウ</t>
    </rPh>
    <rPh sb="10" eb="12">
      <t>ジョウキョウ</t>
    </rPh>
    <rPh sb="13" eb="15">
      <t>カイセイ</t>
    </rPh>
    <phoneticPr fontId="2"/>
  </si>
  <si>
    <t>審査基準日が令和５年８月１４日以降である場合に、建設キャリアアップシステム（ＣＣＵＳ）項目を追加</t>
    <rPh sb="43" eb="45">
      <t>コウモク</t>
    </rPh>
    <rPh sb="46" eb="48">
      <t>ツイカ</t>
    </rPh>
    <phoneticPr fontId="2"/>
  </si>
  <si>
    <t>その場合、Ｗ評点の係数を（1,900／200）から（1,750／200）に変更　</t>
    <rPh sb="2" eb="4">
      <t>バアイ</t>
    </rPh>
    <phoneticPr fontId="2"/>
  </si>
  <si>
    <t>評価対象とする建設機械の種類の拡大</t>
    <phoneticPr fontId="2"/>
  </si>
  <si>
    <t>ISO14001の他に 「エコアクション２１」を追加</t>
    <phoneticPr fontId="2"/>
  </si>
  <si>
    <t>令和５年１月　改正対応版</t>
    <rPh sb="0" eb="2">
      <t>レイワ</t>
    </rPh>
    <rPh sb="3" eb="4">
      <t>ネン</t>
    </rPh>
    <rPh sb="5" eb="6">
      <t>ガツ</t>
    </rPh>
    <rPh sb="7" eb="9">
      <t>カイセイ</t>
    </rPh>
    <rPh sb="9" eb="11">
      <t>タイオウ</t>
    </rPh>
    <rPh sb="11" eb="12">
      <t>バン</t>
    </rPh>
    <phoneticPr fontId="2"/>
  </si>
  <si>
    <t>Ver.0501.1</t>
    <phoneticPr fontId="2"/>
  </si>
  <si>
    <t>Microsoft Excel  2007以降のバージョン</t>
    <phoneticPr fontId="2"/>
  </si>
  <si>
    <t>2022年09月11日</t>
    <rPh sb="4" eb="5">
      <t>ネン</t>
    </rPh>
    <rPh sb="7" eb="8">
      <t>ガツ</t>
    </rPh>
    <rPh sb="10" eb="11">
      <t>ニチ</t>
    </rPh>
    <phoneticPr fontId="2"/>
  </si>
  <si>
    <t>技能レベル向上者数</t>
    <rPh sb="0" eb="2">
      <t>ギノウ</t>
    </rPh>
    <rPh sb="5" eb="8">
      <t>コウジョウシャ</t>
    </rPh>
    <rPh sb="8" eb="9">
      <t>スウ</t>
    </rPh>
    <phoneticPr fontId="2"/>
  </si>
  <si>
    <t>令和5年1月改正</t>
    <rPh sb="0" eb="2">
      <t>レイワ</t>
    </rPh>
    <rPh sb="3" eb="4">
      <t>ネン</t>
    </rPh>
    <rPh sb="5" eb="6">
      <t>ガツ</t>
    </rPh>
    <rPh sb="6" eb="8">
      <t>カイセイ</t>
    </rPh>
    <phoneticPr fontId="2"/>
  </si>
  <si>
    <t>非該当</t>
    <rPh sb="0" eb="3">
      <t>ヒガイトウ</t>
    </rPh>
    <phoneticPr fontId="2"/>
  </si>
  <si>
    <t>非該当</t>
    <rPh sb="0" eb="3">
      <t>ヒガイトウ</t>
    </rPh>
    <phoneticPr fontId="2"/>
  </si>
  <si>
    <t>えるぼし（1段階目）</t>
    <rPh sb="6" eb="9">
      <t>ダンカイメ</t>
    </rPh>
    <phoneticPr fontId="2"/>
  </si>
  <si>
    <t>えるぼし（2段階目）</t>
    <rPh sb="6" eb="9">
      <t>ダンカイメ</t>
    </rPh>
    <phoneticPr fontId="2"/>
  </si>
  <si>
    <t>えるぼし（3段階目）</t>
    <rPh sb="6" eb="9">
      <t>ダンカイメ</t>
    </rPh>
    <phoneticPr fontId="2"/>
  </si>
  <si>
    <t>プラチナえるぼし</t>
    <phoneticPr fontId="2"/>
  </si>
  <si>
    <t>くるみん</t>
    <phoneticPr fontId="2"/>
  </si>
  <si>
    <t>トライくるみん</t>
    <phoneticPr fontId="2"/>
  </si>
  <si>
    <t>プラチナくるみん</t>
    <phoneticPr fontId="2"/>
  </si>
  <si>
    <t>ユースエール</t>
    <phoneticPr fontId="2"/>
  </si>
  <si>
    <t>全ての建設工事</t>
    <rPh sb="0" eb="1">
      <t>スベ</t>
    </rPh>
    <rPh sb="3" eb="5">
      <t>ケンセツ</t>
    </rPh>
    <rPh sb="5" eb="7">
      <t>コウジ</t>
    </rPh>
    <phoneticPr fontId="2"/>
  </si>
  <si>
    <t>全ての公共工事</t>
    <rPh sb="0" eb="1">
      <t>スベ</t>
    </rPh>
    <rPh sb="3" eb="5">
      <t>コウキョウ</t>
    </rPh>
    <rPh sb="5" eb="7">
      <t>コウジ</t>
    </rPh>
    <phoneticPr fontId="2"/>
  </si>
  <si>
    <t>女性の職業生活における活躍の推進に関する法律に基づく認定の状況</t>
    <rPh sb="0" eb="2">
      <t>ジョセイ</t>
    </rPh>
    <rPh sb="3" eb="5">
      <t>ショクギョウ</t>
    </rPh>
    <rPh sb="5" eb="7">
      <t>セイカツ</t>
    </rPh>
    <rPh sb="11" eb="13">
      <t>カツヤク</t>
    </rPh>
    <rPh sb="14" eb="16">
      <t>スイシン</t>
    </rPh>
    <rPh sb="17" eb="18">
      <t>カン</t>
    </rPh>
    <rPh sb="20" eb="22">
      <t>ホウリツ</t>
    </rPh>
    <rPh sb="23" eb="24">
      <t>モト</t>
    </rPh>
    <rPh sb="26" eb="28">
      <t>ニンテイ</t>
    </rPh>
    <rPh sb="29" eb="31">
      <t>ジョウキョウ</t>
    </rPh>
    <phoneticPr fontId="2"/>
  </si>
  <si>
    <t>次世代育成支援対策推進法に基づく認定の状況</t>
    <rPh sb="0" eb="3">
      <t>ジセダイ</t>
    </rPh>
    <rPh sb="3" eb="5">
      <t>イクセイ</t>
    </rPh>
    <rPh sb="5" eb="7">
      <t>シエン</t>
    </rPh>
    <rPh sb="7" eb="9">
      <t>タイサク</t>
    </rPh>
    <rPh sb="9" eb="11">
      <t>スイシン</t>
    </rPh>
    <rPh sb="11" eb="12">
      <t>ホウ</t>
    </rPh>
    <rPh sb="13" eb="14">
      <t>モト</t>
    </rPh>
    <rPh sb="16" eb="18">
      <t>ニンテイ</t>
    </rPh>
    <rPh sb="19" eb="21">
      <t>ジョウキョウ</t>
    </rPh>
    <phoneticPr fontId="2"/>
  </si>
  <si>
    <t>青少年の雇用の促進等に関する法律に基づく認定の状況</t>
    <rPh sb="0" eb="3">
      <t>セイショウネン</t>
    </rPh>
    <rPh sb="4" eb="6">
      <t>コヨウ</t>
    </rPh>
    <rPh sb="7" eb="9">
      <t>ソクシン</t>
    </rPh>
    <rPh sb="9" eb="10">
      <t>トウ</t>
    </rPh>
    <rPh sb="11" eb="12">
      <t>カン</t>
    </rPh>
    <rPh sb="14" eb="16">
      <t>ホウリツ</t>
    </rPh>
    <rPh sb="17" eb="18">
      <t>モト</t>
    </rPh>
    <rPh sb="20" eb="22">
      <t>ニンテイ</t>
    </rPh>
    <rPh sb="23" eb="25">
      <t>ジョウキョウ</t>
    </rPh>
    <phoneticPr fontId="2"/>
  </si>
  <si>
    <t>建設工事に従事する者の就業履歴を蓄積するために必要な措置の実施状況</t>
    <rPh sb="0" eb="2">
      <t>ケンセツ</t>
    </rPh>
    <rPh sb="2" eb="4">
      <t>コウジ</t>
    </rPh>
    <rPh sb="5" eb="7">
      <t>ジュウジ</t>
    </rPh>
    <rPh sb="9" eb="10">
      <t>モノ</t>
    </rPh>
    <rPh sb="11" eb="13">
      <t>シュウギョウ</t>
    </rPh>
    <rPh sb="13" eb="15">
      <t>リレキ</t>
    </rPh>
    <rPh sb="16" eb="18">
      <t>チクセキ</t>
    </rPh>
    <rPh sb="23" eb="25">
      <t>ヒツヨウ</t>
    </rPh>
    <rPh sb="26" eb="28">
      <t>ソチ</t>
    </rPh>
    <rPh sb="29" eb="31">
      <t>ジッシ</t>
    </rPh>
    <rPh sb="31" eb="33">
      <t>ジョウキョウ</t>
    </rPh>
    <phoneticPr fontId="2"/>
  </si>
  <si>
    <t>建設工事の担い手の育成及び確保に関する取組の状況</t>
    <rPh sb="0" eb="2">
      <t>ケンセツ</t>
    </rPh>
    <rPh sb="2" eb="4">
      <t>コウジ</t>
    </rPh>
    <rPh sb="5" eb="6">
      <t>ニナ</t>
    </rPh>
    <rPh sb="7" eb="8">
      <t>テ</t>
    </rPh>
    <rPh sb="9" eb="11">
      <t>イクセイ</t>
    </rPh>
    <rPh sb="11" eb="12">
      <t>オヨ</t>
    </rPh>
    <rPh sb="13" eb="15">
      <t>カクホ</t>
    </rPh>
    <rPh sb="16" eb="17">
      <t>カン</t>
    </rPh>
    <rPh sb="19" eb="21">
      <t>トリクミ</t>
    </rPh>
    <rPh sb="22" eb="24">
      <t>ジョウキョウ</t>
    </rPh>
    <phoneticPr fontId="2"/>
  </si>
  <si>
    <t>該当（15％以上）</t>
    <rPh sb="0" eb="2">
      <t>ガイトウ</t>
    </rPh>
    <rPh sb="6" eb="8">
      <t>イジョウ</t>
    </rPh>
    <phoneticPr fontId="2"/>
  </si>
  <si>
    <t>該当（１％以上）</t>
    <rPh sb="0" eb="2">
      <t>ガイトウ</t>
    </rPh>
    <rPh sb="5" eb="7">
      <t>イジョウ</t>
    </rPh>
    <phoneticPr fontId="2"/>
  </si>
  <si>
    <t>非該当（15％未満）</t>
    <rPh sb="0" eb="3">
      <t>ヒガイトウ</t>
    </rPh>
    <rPh sb="7" eb="9">
      <t>ミマン</t>
    </rPh>
    <phoneticPr fontId="2"/>
  </si>
  <si>
    <t>非該当（１％未満）</t>
    <rPh sb="0" eb="3">
      <t>ヒガイトウ</t>
    </rPh>
    <rPh sb="6" eb="8">
      <t>ミマン</t>
    </rPh>
    <phoneticPr fontId="2"/>
  </si>
  <si>
    <t>建設業の営業継続の状況</t>
    <rPh sb="0" eb="3">
      <t>ケンセツギョウ</t>
    </rPh>
    <rPh sb="4" eb="6">
      <t>エイギョウ</t>
    </rPh>
    <rPh sb="6" eb="8">
      <t>ケイゾク</t>
    </rPh>
    <rPh sb="9" eb="11">
      <t>ジョウキョウ</t>
    </rPh>
    <phoneticPr fontId="2"/>
  </si>
  <si>
    <t>二級登録経理試験合格者の数</t>
    <phoneticPr fontId="2"/>
  </si>
  <si>
    <t>研究開発費（２期平均）</t>
    <rPh sb="0" eb="2">
      <t>ケンキュウ</t>
    </rPh>
    <rPh sb="2" eb="5">
      <t>カイハツヒ</t>
    </rPh>
    <rPh sb="7" eb="8">
      <t>キ</t>
    </rPh>
    <rPh sb="8" eb="10">
      <t>ヘイキン</t>
    </rPh>
    <phoneticPr fontId="2"/>
  </si>
  <si>
    <t>エコアクション２ １ の認証の有無</t>
    <rPh sb="12" eb="14">
      <t>ニンショウ</t>
    </rPh>
    <rPh sb="15" eb="17">
      <t>ウム</t>
    </rPh>
    <phoneticPr fontId="2"/>
  </si>
  <si>
    <t>審査基準日が令和５年８月１４日以降</t>
    <rPh sb="0" eb="2">
      <t>シンサ</t>
    </rPh>
    <rPh sb="2" eb="5">
      <t>キジュンビ</t>
    </rPh>
    <rPh sb="6" eb="8">
      <t>レイワ</t>
    </rPh>
    <rPh sb="9" eb="10">
      <t>ネン</t>
    </rPh>
    <rPh sb="11" eb="12">
      <t>ガツ</t>
    </rPh>
    <rPh sb="14" eb="15">
      <t>ニチ</t>
    </rPh>
    <rPh sb="15" eb="17">
      <t>イコウ</t>
    </rPh>
    <phoneticPr fontId="2"/>
  </si>
  <si>
    <t>結果表に転記</t>
    <rPh sb="0" eb="3">
      <t>ケッカヒョウ</t>
    </rPh>
    <rPh sb="4" eb="6">
      <t>テンキ</t>
    </rPh>
    <phoneticPr fontId="2"/>
  </si>
  <si>
    <t>はい</t>
    <phoneticPr fontId="2"/>
  </si>
  <si>
    <t>いいえ</t>
    <phoneticPr fontId="2"/>
  </si>
  <si>
    <t>※</t>
    <phoneticPr fontId="2"/>
  </si>
  <si>
    <t>Ｗ評点＝（Ｗ１＋Ｗ２＋Ｗ３＋Ｗ４＋Ｗ５＋Ｗ６＋Ｗ７＋Ｗ８）×１０×１７５/２００</t>
    <rPh sb="1" eb="3">
      <t>ヒョウテン</t>
    </rPh>
    <phoneticPr fontId="2"/>
  </si>
  <si>
    <t>Ｗ評点＝（Ｗ１＋Ｗ２＋Ｗ３＋Ｗ４＋Ｗ５＋Ｗ６＋Ｗ７＋Ｗ８）×１０×１９０/２００</t>
    <rPh sb="1" eb="3">
      <t>ヒョウテン</t>
    </rPh>
    <phoneticPr fontId="2"/>
  </si>
  <si>
    <t>係数後</t>
    <rPh sb="0" eb="2">
      <t>ケイスウ</t>
    </rPh>
    <rPh sb="2" eb="3">
      <t>ゴ</t>
    </rPh>
    <phoneticPr fontId="2"/>
  </si>
  <si>
    <t>若手技術職員の継続的な育成及び確保</t>
    <rPh sb="0" eb="2">
      <t>ワカテ</t>
    </rPh>
    <rPh sb="2" eb="4">
      <t>ギジュツ</t>
    </rPh>
    <rPh sb="4" eb="6">
      <t>ショクイン</t>
    </rPh>
    <rPh sb="7" eb="10">
      <t>ケイゾクテキ</t>
    </rPh>
    <rPh sb="11" eb="13">
      <t>イクセイ</t>
    </rPh>
    <rPh sb="13" eb="14">
      <t>オヨ</t>
    </rPh>
    <rPh sb="15" eb="17">
      <t>カクホ</t>
    </rPh>
    <phoneticPr fontId="2"/>
  </si>
  <si>
    <t>国又は国際化標準化機構が定めた規格による認証又は登録の状況</t>
    <rPh sb="0" eb="1">
      <t>クニ</t>
    </rPh>
    <rPh sb="1" eb="2">
      <t>マタ</t>
    </rPh>
    <rPh sb="3" eb="6">
      <t>コクサイカ</t>
    </rPh>
    <rPh sb="6" eb="9">
      <t>ヒョウジュンカ</t>
    </rPh>
    <rPh sb="9" eb="11">
      <t>キコウ</t>
    </rPh>
    <rPh sb="12" eb="13">
      <t>サダ</t>
    </rPh>
    <rPh sb="15" eb="17">
      <t>キカク</t>
    </rPh>
    <rPh sb="20" eb="22">
      <t>ニンショウ</t>
    </rPh>
    <rPh sb="22" eb="23">
      <t>マタ</t>
    </rPh>
    <rPh sb="24" eb="26">
      <t>トウロク</t>
    </rPh>
    <rPh sb="27" eb="29">
      <t>ジョウキョウ</t>
    </rPh>
    <phoneticPr fontId="2"/>
  </si>
  <si>
    <t>技能レベル向上者数</t>
    <rPh sb="0" eb="2">
      <t>ギノウ</t>
    </rPh>
    <rPh sb="5" eb="7">
      <t>コウジョウ</t>
    </rPh>
    <rPh sb="7" eb="8">
      <t>シャ</t>
    </rPh>
    <rPh sb="8" eb="9">
      <t>スウ</t>
    </rPh>
    <phoneticPr fontId="2"/>
  </si>
  <si>
    <t>国又は国際標準化機構が定めた規格による認証又は登録の状況</t>
    <rPh sb="0" eb="1">
      <t>クニ</t>
    </rPh>
    <rPh sb="1" eb="2">
      <t>マタ</t>
    </rPh>
    <rPh sb="3" eb="5">
      <t>コクサイ</t>
    </rPh>
    <rPh sb="5" eb="8">
      <t>ヒョウジュンカ</t>
    </rPh>
    <rPh sb="8" eb="10">
      <t>キコウ</t>
    </rPh>
    <rPh sb="11" eb="12">
      <t>サダ</t>
    </rPh>
    <rPh sb="14" eb="16">
      <t>キカク</t>
    </rPh>
    <rPh sb="19" eb="21">
      <t>ニンショウ</t>
    </rPh>
    <rPh sb="21" eb="22">
      <t>マタ</t>
    </rPh>
    <rPh sb="23" eb="25">
      <t>トウロク</t>
    </rPh>
    <rPh sb="26" eb="28">
      <t>ジョウキョウ</t>
    </rPh>
    <phoneticPr fontId="2"/>
  </si>
  <si>
    <t>rx</t>
    <phoneticPr fontId="2"/>
  </si>
  <si>
    <t>9c</t>
    <phoneticPr fontId="2"/>
  </si>
  <si>
    <t>7d</t>
  </si>
  <si>
    <t>zm</t>
    <phoneticPr fontId="2"/>
  </si>
  <si>
    <t>0j</t>
  </si>
  <si>
    <t>「CPD単位換算計算表」</t>
    <phoneticPr fontId="2"/>
  </si>
  <si>
    <t>認定CPD団体毎に換算したCPD単位を計算するシートです。</t>
    <rPh sb="19" eb="21">
      <t>ケイサン</t>
    </rPh>
    <phoneticPr fontId="2"/>
  </si>
  <si>
    <t>「令和５年１月改正について」</t>
    <rPh sb="1" eb="3">
      <t>レイワ</t>
    </rPh>
    <rPh sb="4" eb="5">
      <t>ネン</t>
    </rPh>
    <rPh sb="6" eb="7">
      <t>ガツ</t>
    </rPh>
    <rPh sb="7" eb="9">
      <t>カイセイ</t>
    </rPh>
    <phoneticPr fontId="2"/>
  </si>
  <si>
    <t>経営事項審査の令和５年１月改正についての説明です。</t>
    <rPh sb="20" eb="22">
      <t>セツメイ</t>
    </rPh>
    <phoneticPr fontId="2"/>
  </si>
  <si>
    <t>「建設工事に従事する者の就業履歴を蓄積するために必要な措置の実施状況」　→　評価する</t>
    <rPh sb="38" eb="40">
      <t>ヒョウカ</t>
    </rPh>
    <phoneticPr fontId="2"/>
  </si>
  <si>
    <t>「建設工事に従事する者の就業履歴を蓄積するために必要な措置の実施状況」　→　評価しない</t>
    <phoneticPr fontId="2"/>
  </si>
  <si>
    <t>（審査基準日によってW評点の算出方法が大幅に変わります）</t>
    <rPh sb="1" eb="3">
      <t>シンサ</t>
    </rPh>
    <rPh sb="3" eb="6">
      <t>キジュンビ</t>
    </rPh>
    <rPh sb="11" eb="13">
      <t>ヒョウテン</t>
    </rPh>
    <rPh sb="14" eb="16">
      <t>サンシュツ</t>
    </rPh>
    <rPh sb="16" eb="18">
      <t>ホウホウ</t>
    </rPh>
    <rPh sb="19" eb="21">
      <t>オオハバ</t>
    </rPh>
    <rPh sb="22" eb="23">
      <t>カ</t>
    </rPh>
    <phoneticPr fontId="2"/>
  </si>
  <si>
    <t>https://www.t-and-s-soft.gr.jp/cgi-bin/inquiry/0501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</si>
</sst>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0"/>
    <numFmt numFmtId="177" formatCode="0.000"/>
    <numFmt numFmtId="178" formatCode="0.00000"/>
    <numFmt numFmtId="179" formatCode="#,##0.0;[Red]\-#,##0.0"/>
    <numFmt numFmtId="180" formatCode="#,##0.000;[Red]\-#,##0.000"/>
    <numFmt numFmtId="181" formatCode="0_ ;[Red]\-0\ "/>
    <numFmt numFmtId="182" formatCode="0.0_ ;[Red]\-0.0\ "/>
    <numFmt numFmtId="183" formatCode="0.00_ ;[Red]\-0.00\ "/>
    <numFmt numFmtId="184" formatCode="0.0000_ ;[Red]\-0.0000\ "/>
    <numFmt numFmtId="185" formatCode="0.00000_ ;[Red]\-0.00000\ "/>
    <numFmt numFmtId="186" formatCode="0;0;"/>
    <numFmt numFmtId="187" formatCode="0;0.00;"/>
    <numFmt numFmtId="188" formatCode="[$-411]ggge&quot;年&quot;m&quot;月&quot;d&quot;日&quot;;@"/>
    <numFmt numFmtId="189" formatCode="0.000_ "/>
    <numFmt numFmtId="190" formatCode="m&quot;月&quot;d&quot;日&quot;;@"/>
    <numFmt numFmtId="191" formatCode="0.0000000_ ;[Red]\-0.0000000\ "/>
    <numFmt numFmtId="192" formatCode="#,###"/>
  </numFmts>
  <fonts count="45"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明朝"/>
      <family val="1"/>
      <charset val="128"/>
    </font>
    <font>
      <sz val="10"/>
      <name val="ＭＳ 明朝"/>
      <family val="1"/>
      <charset val="128"/>
    </font>
    <font>
      <sz val="8"/>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18"/>
      <name val="ＭＳ Ｐゴシック"/>
      <family val="3"/>
      <charset val="128"/>
    </font>
    <font>
      <sz val="11"/>
      <name val="ＭＳ Ｐゴシック"/>
      <family val="3"/>
      <charset val="128"/>
    </font>
    <font>
      <sz val="9"/>
      <color indexed="81"/>
      <name val="ＭＳ Ｐゴシック"/>
      <family val="3"/>
      <charset val="128"/>
    </font>
    <font>
      <sz val="10"/>
      <color indexed="12"/>
      <name val="ＭＳ Ｐゴシック"/>
      <family val="3"/>
      <charset val="128"/>
    </font>
    <font>
      <sz val="10"/>
      <color indexed="16"/>
      <name val="ＭＳ Ｐゴシック"/>
      <family val="3"/>
      <charset val="128"/>
    </font>
    <font>
      <sz val="10"/>
      <color indexed="10"/>
      <name val="ＭＳ Ｐゴシック"/>
      <family val="3"/>
      <charset val="128"/>
    </font>
    <font>
      <sz val="11"/>
      <color indexed="18"/>
      <name val="ＭＳ Ｐゴシック"/>
      <family val="3"/>
      <charset val="128"/>
    </font>
    <font>
      <sz val="10"/>
      <color indexed="18"/>
      <name val="ＭＳ Ｐゴシック"/>
      <family val="3"/>
      <charset val="128"/>
    </font>
    <font>
      <sz val="9"/>
      <color indexed="18"/>
      <name val="ＭＳ Ｐゴシック"/>
      <family val="3"/>
      <charset val="128"/>
    </font>
    <font>
      <sz val="11"/>
      <name val="ＭＳ Ｐゴシック"/>
      <family val="3"/>
      <charset val="128"/>
    </font>
    <font>
      <sz val="7.5"/>
      <name val="ＭＳ 明朝"/>
      <family val="1"/>
      <charset val="128"/>
    </font>
    <font>
      <sz val="7.5"/>
      <name val="ＭＳ Ｐゴシック"/>
      <family val="3"/>
      <charset val="128"/>
    </font>
    <font>
      <u/>
      <sz val="7.5"/>
      <name val="ＭＳ 明朝"/>
      <family val="1"/>
      <charset val="128"/>
    </font>
    <font>
      <b/>
      <sz val="10"/>
      <name val="ＭＳ Ｐゴシック"/>
      <family val="3"/>
      <charset val="128"/>
    </font>
    <font>
      <sz val="10"/>
      <color indexed="23"/>
      <name val="ＭＳ Ｐゴシック"/>
      <family val="3"/>
      <charset val="128"/>
    </font>
    <font>
      <i/>
      <sz val="10"/>
      <color indexed="12"/>
      <name val="ＭＳ Ｐゴシック"/>
      <family val="3"/>
      <charset val="128"/>
    </font>
    <font>
      <sz val="10"/>
      <color indexed="14"/>
      <name val="ＭＳ Ｐゴシック"/>
      <family val="3"/>
      <charset val="128"/>
    </font>
    <font>
      <sz val="10"/>
      <color indexed="48"/>
      <name val="ＭＳ Ｐゴシック"/>
      <family val="3"/>
      <charset val="128"/>
    </font>
    <font>
      <b/>
      <sz val="11"/>
      <color indexed="18"/>
      <name val="ＭＳ Ｐゴシック"/>
      <family val="3"/>
      <charset val="128"/>
    </font>
    <font>
      <b/>
      <sz val="11"/>
      <name val="ＭＳ Ｐゴシック"/>
      <family val="3"/>
      <charset val="128"/>
    </font>
    <font>
      <b/>
      <sz val="11"/>
      <color indexed="14"/>
      <name val="ＭＳ Ｐゴシック"/>
      <family val="3"/>
      <charset val="128"/>
    </font>
    <font>
      <sz val="7"/>
      <name val="ＭＳ Ｐゴシック"/>
      <family val="3"/>
      <charset val="128"/>
    </font>
    <font>
      <sz val="10"/>
      <color indexed="12"/>
      <name val="ＭＳ Ｐゴシック"/>
      <family val="3"/>
      <charset val="128"/>
    </font>
    <font>
      <b/>
      <sz val="12"/>
      <color indexed="10"/>
      <name val="ＭＳ Ｐゴシック"/>
      <family val="3"/>
      <charset val="128"/>
    </font>
    <font>
      <b/>
      <sz val="18"/>
      <color indexed="18"/>
      <name val="ＭＳ ゴシック"/>
      <family val="3"/>
      <charset val="128"/>
    </font>
    <font>
      <b/>
      <sz val="14"/>
      <color indexed="14"/>
      <name val="ＭＳ Ｐゴシック"/>
      <family val="3"/>
      <charset val="128"/>
    </font>
    <font>
      <b/>
      <sz val="12"/>
      <color indexed="18"/>
      <name val="ＭＳ ゴシック"/>
      <family val="3"/>
      <charset val="128"/>
    </font>
    <font>
      <sz val="9"/>
      <name val="ＭＳ Ｐゴシック"/>
      <family val="3"/>
      <charset val="128"/>
    </font>
    <font>
      <sz val="9"/>
      <color indexed="10"/>
      <name val="ＭＳ Ｐゴシック"/>
      <family val="3"/>
      <charset val="128"/>
    </font>
    <font>
      <b/>
      <sz val="9"/>
      <name val="ＭＳ Ｐゴシック"/>
      <family val="3"/>
      <charset val="128"/>
    </font>
    <font>
      <b/>
      <sz val="10"/>
      <color indexed="18"/>
      <name val="ＭＳ Ｐゴシック"/>
      <family val="3"/>
      <charset val="128"/>
    </font>
    <font>
      <sz val="10"/>
      <color theme="0"/>
      <name val="ＭＳ Ｐゴシック"/>
      <family val="3"/>
      <charset val="128"/>
    </font>
    <font>
      <sz val="6"/>
      <name val="ＭＳ 明朝"/>
      <family val="1"/>
      <charset val="128"/>
    </font>
    <font>
      <sz val="10"/>
      <color rgb="FFFF0000"/>
      <name val="ＭＳ Ｐゴシック"/>
      <family val="3"/>
      <charset val="12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42"/>
        <bgColor indexed="31"/>
      </patternFill>
    </fill>
    <fill>
      <patternFill patternType="solid">
        <fgColor indexed="42"/>
        <bgColor indexed="64"/>
      </patternFill>
    </fill>
    <fill>
      <patternFill patternType="solid">
        <fgColor indexed="47"/>
        <bgColor indexed="64"/>
      </patternFill>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rgb="FFCCFFCC"/>
        <bgColor indexed="31"/>
      </patternFill>
    </fill>
    <fill>
      <patternFill patternType="solid">
        <fgColor rgb="FFCCFFCC"/>
        <bgColor indexed="64"/>
      </patternFill>
    </fill>
    <fill>
      <patternFill patternType="solid">
        <fgColor theme="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53"/>
      </left>
      <right/>
      <top/>
      <bottom/>
      <diagonal/>
    </border>
    <border>
      <left style="thin">
        <color indexed="53"/>
      </left>
      <right/>
      <top/>
      <bottom style="thin">
        <color indexed="53"/>
      </bottom>
      <diagonal/>
    </border>
    <border>
      <left style="thin">
        <color indexed="53"/>
      </left>
      <right style="thin">
        <color indexed="53"/>
      </right>
      <top style="thin">
        <color indexed="53"/>
      </top>
      <bottom style="thin">
        <color indexed="53"/>
      </bottom>
      <diagonal/>
    </border>
    <border>
      <left style="thin">
        <color indexed="53"/>
      </left>
      <right style="thin">
        <color indexed="53"/>
      </right>
      <top style="thin">
        <color indexed="53"/>
      </top>
      <bottom/>
      <diagonal/>
    </border>
    <border>
      <left style="thin">
        <color indexed="53"/>
      </left>
      <right style="thin">
        <color indexed="53"/>
      </right>
      <top/>
      <bottom/>
      <diagonal/>
    </border>
    <border>
      <left style="thin">
        <color indexed="53"/>
      </left>
      <right style="thin">
        <color indexed="53"/>
      </right>
      <top/>
      <bottom style="thin">
        <color indexed="53"/>
      </bottom>
      <diagonal/>
    </border>
    <border>
      <left style="thin">
        <color indexed="53"/>
      </left>
      <right/>
      <top style="thin">
        <color indexed="53"/>
      </top>
      <bottom style="thin">
        <color indexed="53"/>
      </bottom>
      <diagonal/>
    </border>
    <border>
      <left/>
      <right style="thin">
        <color indexed="64"/>
      </right>
      <top style="thin">
        <color indexed="64"/>
      </top>
      <bottom/>
      <diagonal/>
    </border>
    <border>
      <left/>
      <right/>
      <top style="thin">
        <color indexed="53"/>
      </top>
      <bottom style="thin">
        <color indexed="53"/>
      </bottom>
      <diagonal/>
    </border>
    <border>
      <left/>
      <right style="thin">
        <color indexed="53"/>
      </right>
      <top/>
      <bottom/>
      <diagonal/>
    </border>
    <border>
      <left/>
      <right style="thin">
        <color indexed="53"/>
      </right>
      <top/>
      <bottom style="thin">
        <color indexed="53"/>
      </bottom>
      <diagonal/>
    </border>
    <border>
      <left style="thin">
        <color indexed="53"/>
      </left>
      <right/>
      <top style="thin">
        <color indexed="53"/>
      </top>
      <bottom/>
      <diagonal/>
    </border>
    <border>
      <left/>
      <right/>
      <top/>
      <bottom style="thin">
        <color indexed="53"/>
      </bottom>
      <diagonal/>
    </border>
    <border>
      <left/>
      <right style="thin">
        <color indexed="53"/>
      </right>
      <top style="thin">
        <color indexed="53"/>
      </top>
      <bottom/>
      <diagonal/>
    </border>
    <border>
      <left/>
      <right style="thin">
        <color indexed="53"/>
      </right>
      <top style="thin">
        <color indexed="53"/>
      </top>
      <bottom style="thin">
        <color indexed="53"/>
      </bottom>
      <diagonal/>
    </border>
    <border>
      <left/>
      <right/>
      <top style="thin">
        <color indexed="53"/>
      </top>
      <bottom/>
      <diagonal/>
    </border>
    <border>
      <left style="thin">
        <color indexed="53"/>
      </left>
      <right/>
      <top style="thin">
        <color indexed="64"/>
      </top>
      <bottom/>
      <diagonal/>
    </border>
    <border>
      <left/>
      <right/>
      <top style="thin">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53"/>
      </left>
      <right style="thin">
        <color indexed="53"/>
      </right>
      <top style="thin">
        <color indexed="53"/>
      </top>
      <bottom style="thin">
        <color indexed="53"/>
      </bottom>
      <diagonal style="thin">
        <color indexed="53"/>
      </diagonal>
    </border>
    <border>
      <left/>
      <right style="hair">
        <color indexed="64"/>
      </right>
      <top style="hair">
        <color indexed="64"/>
      </top>
      <bottom style="hair">
        <color indexed="64"/>
      </bottom>
      <diagonal/>
    </border>
    <border diagonalUp="1">
      <left style="thin">
        <color indexed="53"/>
      </left>
      <right/>
      <top style="thin">
        <color indexed="53"/>
      </top>
      <bottom style="thin">
        <color indexed="53"/>
      </bottom>
      <diagonal style="thin">
        <color indexed="53"/>
      </diagonal>
    </border>
    <border>
      <left style="hair">
        <color indexed="53"/>
      </left>
      <right style="thin">
        <color indexed="53"/>
      </right>
      <top style="thin">
        <color indexed="53"/>
      </top>
      <bottom/>
      <diagonal/>
    </border>
    <border>
      <left style="hair">
        <color indexed="53"/>
      </left>
      <right style="thin">
        <color indexed="53"/>
      </right>
      <top/>
      <bottom style="thin">
        <color indexed="53"/>
      </bottom>
      <diagonal/>
    </border>
    <border diagonalUp="1">
      <left style="hair">
        <color indexed="53"/>
      </left>
      <right style="thin">
        <color indexed="53"/>
      </right>
      <top style="thin">
        <color indexed="53"/>
      </top>
      <bottom style="thin">
        <color indexed="53"/>
      </bottom>
      <diagonal style="thin">
        <color indexed="53"/>
      </diagonal>
    </border>
    <border>
      <left style="hair">
        <color indexed="53"/>
      </left>
      <right style="thin">
        <color indexed="53"/>
      </right>
      <top style="thin">
        <color indexed="53"/>
      </top>
      <bottom style="thin">
        <color indexed="53"/>
      </bottom>
      <diagonal/>
    </border>
    <border>
      <left style="double">
        <color indexed="53"/>
      </left>
      <right style="double">
        <color indexed="53"/>
      </right>
      <top style="thin">
        <color indexed="53"/>
      </top>
      <bottom style="thin">
        <color indexed="53"/>
      </bottom>
      <diagonal/>
    </border>
    <border diagonalUp="1">
      <left style="double">
        <color indexed="53"/>
      </left>
      <right style="double">
        <color indexed="53"/>
      </right>
      <top style="thin">
        <color indexed="53"/>
      </top>
      <bottom style="thin">
        <color indexed="53"/>
      </bottom>
      <diagonal style="thin">
        <color indexed="53"/>
      </diagonal>
    </border>
    <border diagonalUp="1">
      <left style="double">
        <color indexed="53"/>
      </left>
      <right style="double">
        <color indexed="53"/>
      </right>
      <top style="thin">
        <color indexed="53"/>
      </top>
      <bottom style="double">
        <color indexed="53"/>
      </bottom>
      <diagonal style="thin">
        <color indexed="53"/>
      </diagonal>
    </border>
    <border>
      <left style="thin">
        <color indexed="53"/>
      </left>
      <right style="double">
        <color indexed="53"/>
      </right>
      <top style="double">
        <color indexed="53"/>
      </top>
      <bottom style="double">
        <color indexed="53"/>
      </bottom>
      <diagonal/>
    </border>
    <border>
      <left/>
      <right/>
      <top style="double">
        <color indexed="53"/>
      </top>
      <bottom style="double">
        <color indexed="53"/>
      </bottom>
      <diagonal/>
    </border>
    <border>
      <left/>
      <right style="double">
        <color indexed="53"/>
      </right>
      <top style="double">
        <color indexed="53"/>
      </top>
      <bottom style="double">
        <color indexed="53"/>
      </bottom>
      <diagonal/>
    </border>
    <border diagonalUp="1">
      <left/>
      <right/>
      <top style="thin">
        <color indexed="53"/>
      </top>
      <bottom style="thin">
        <color indexed="53"/>
      </bottom>
      <diagonal style="thin">
        <color indexed="53"/>
      </diagonal>
    </border>
    <border>
      <left style="thin">
        <color indexed="53"/>
      </left>
      <right style="hair">
        <color indexed="53"/>
      </right>
      <top style="thin">
        <color indexed="53"/>
      </top>
      <bottom style="thin">
        <color indexed="53"/>
      </bottom>
      <diagonal/>
    </border>
    <border>
      <left style="double">
        <color indexed="53"/>
      </left>
      <right/>
      <top style="double">
        <color indexed="53"/>
      </top>
      <bottom style="double">
        <color indexed="53"/>
      </bottom>
      <diagonal/>
    </border>
    <border>
      <left style="double">
        <color indexed="53"/>
      </left>
      <right style="double">
        <color indexed="53"/>
      </right>
      <top style="double">
        <color indexed="53"/>
      </top>
      <bottom style="double">
        <color indexed="53"/>
      </bottom>
      <diagonal/>
    </border>
    <border>
      <left style="thin">
        <color indexed="53"/>
      </left>
      <right style="thin">
        <color indexed="64"/>
      </right>
      <top style="thin">
        <color indexed="53"/>
      </top>
      <bottom style="thin">
        <color indexed="53"/>
      </bottom>
      <diagonal/>
    </border>
    <border>
      <left style="thin">
        <color indexed="64"/>
      </left>
      <right style="thin">
        <color indexed="53"/>
      </right>
      <top style="thin">
        <color indexed="53"/>
      </top>
      <bottom style="thin">
        <color indexed="53"/>
      </bottom>
      <diagonal/>
    </border>
    <border>
      <left style="double">
        <color indexed="53"/>
      </left>
      <right style="double">
        <color indexed="53"/>
      </right>
      <top style="double">
        <color indexed="53"/>
      </top>
      <bottom/>
      <diagonal/>
    </border>
    <border>
      <left style="double">
        <color indexed="53"/>
      </left>
      <right style="double">
        <color indexed="53"/>
      </right>
      <top/>
      <bottom style="thin">
        <color indexed="53"/>
      </bottom>
      <diagonal/>
    </border>
    <border>
      <left style="double">
        <color indexed="53"/>
      </left>
      <right style="double">
        <color indexed="53"/>
      </right>
      <top/>
      <bottom/>
      <diagonal/>
    </border>
    <border>
      <left style="double">
        <color indexed="53"/>
      </left>
      <right style="thin">
        <color indexed="53"/>
      </right>
      <top style="double">
        <color indexed="53"/>
      </top>
      <bottom style="double">
        <color indexed="53"/>
      </bottom>
      <diagonal/>
    </border>
    <border>
      <left style="thin">
        <color indexed="53"/>
      </left>
      <right style="thin">
        <color indexed="53"/>
      </right>
      <top style="double">
        <color indexed="53"/>
      </top>
      <bottom style="double">
        <color indexed="53"/>
      </bottom>
      <diagonal/>
    </border>
    <border>
      <left/>
      <right style="thin">
        <color indexed="53"/>
      </right>
      <top style="double">
        <color indexed="53"/>
      </top>
      <bottom style="double">
        <color indexed="53"/>
      </bottom>
      <diagonal/>
    </border>
    <border>
      <left/>
      <right style="thin">
        <color indexed="64"/>
      </right>
      <top style="thin">
        <color indexed="53"/>
      </top>
      <bottom style="thin">
        <color indexed="53"/>
      </bottom>
      <diagonal/>
    </border>
    <border>
      <left style="thin">
        <color indexed="64"/>
      </left>
      <right/>
      <top style="thin">
        <color indexed="53"/>
      </top>
      <bottom style="thin">
        <color indexed="53"/>
      </bottom>
      <diagonal/>
    </border>
    <border>
      <left style="thin">
        <color indexed="64"/>
      </left>
      <right style="thin">
        <color indexed="64"/>
      </right>
      <top style="thin">
        <color indexed="53"/>
      </top>
      <bottom style="thin">
        <color indexed="53"/>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thin">
        <color indexed="53"/>
      </right>
      <top style="thin">
        <color indexed="64"/>
      </top>
      <bottom/>
      <diagonal/>
    </border>
    <border>
      <left style="thin">
        <color rgb="FFFF6600"/>
      </left>
      <right/>
      <top style="thin">
        <color rgb="FFFF6600"/>
      </top>
      <bottom style="thin">
        <color rgb="FFFF6600"/>
      </bottom>
      <diagonal/>
    </border>
    <border>
      <left/>
      <right style="thin">
        <color rgb="FFFF6600"/>
      </right>
      <top style="thin">
        <color rgb="FFFF6600"/>
      </top>
      <bottom style="thin">
        <color rgb="FFFF6600"/>
      </bottom>
      <diagonal/>
    </border>
    <border>
      <left/>
      <right/>
      <top style="thin">
        <color rgb="FFFF6600"/>
      </top>
      <bottom style="thin">
        <color rgb="FFFF6600"/>
      </bottom>
      <diagonal/>
    </border>
    <border>
      <left style="double">
        <color rgb="FF008000"/>
      </left>
      <right style="double">
        <color rgb="FF008000"/>
      </right>
      <top style="double">
        <color rgb="FF008000"/>
      </top>
      <bottom style="double">
        <color rgb="FF008000"/>
      </bottom>
      <diagonal/>
    </border>
    <border>
      <left/>
      <right/>
      <top style="double">
        <color rgb="FF008000"/>
      </top>
      <bottom style="double">
        <color rgb="FF008000"/>
      </bottom>
      <diagonal/>
    </border>
    <border>
      <left/>
      <right style="double">
        <color rgb="FF008000"/>
      </right>
      <top style="double">
        <color rgb="FF008000"/>
      </top>
      <bottom style="double">
        <color rgb="FF008000"/>
      </bottom>
      <diagonal/>
    </border>
    <border>
      <left style="double">
        <color rgb="FF008000"/>
      </left>
      <right/>
      <top style="double">
        <color rgb="FF008000"/>
      </top>
      <bottom style="double">
        <color rgb="FF008000"/>
      </bottom>
      <diagonal/>
    </border>
    <border>
      <left style="thin">
        <color indexed="53"/>
      </left>
      <right style="thin">
        <color indexed="53"/>
      </right>
      <top style="hair">
        <color indexed="53"/>
      </top>
      <bottom style="hair">
        <color indexed="53"/>
      </bottom>
      <diagonal/>
    </border>
    <border>
      <left style="thin">
        <color indexed="53"/>
      </left>
      <right/>
      <top style="hair">
        <color indexed="53"/>
      </top>
      <bottom style="hair">
        <color indexed="53"/>
      </bottom>
      <diagonal/>
    </border>
    <border>
      <left/>
      <right/>
      <top style="hair">
        <color indexed="53"/>
      </top>
      <bottom style="hair">
        <color indexed="53"/>
      </bottom>
      <diagonal/>
    </border>
    <border>
      <left/>
      <right style="thin">
        <color indexed="53"/>
      </right>
      <top style="hair">
        <color indexed="53"/>
      </top>
      <bottom style="hair">
        <color indexed="53"/>
      </bottom>
      <diagonal/>
    </border>
    <border>
      <left style="thin">
        <color indexed="53"/>
      </left>
      <right style="thin">
        <color indexed="53"/>
      </right>
      <top style="thin">
        <color indexed="53"/>
      </top>
      <bottom style="hair">
        <color indexed="53"/>
      </bottom>
      <diagonal/>
    </border>
    <border>
      <left style="thin">
        <color indexed="53"/>
      </left>
      <right/>
      <top style="thin">
        <color indexed="53"/>
      </top>
      <bottom style="hair">
        <color indexed="53"/>
      </bottom>
      <diagonal/>
    </border>
    <border>
      <left/>
      <right/>
      <top style="thin">
        <color indexed="53"/>
      </top>
      <bottom style="hair">
        <color indexed="53"/>
      </bottom>
      <diagonal/>
    </border>
    <border>
      <left/>
      <right style="thin">
        <color indexed="53"/>
      </right>
      <top style="thin">
        <color indexed="53"/>
      </top>
      <bottom style="hair">
        <color indexed="53"/>
      </bottom>
      <diagonal/>
    </border>
  </borders>
  <cellStyleXfs count="4">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cellStyleXfs>
  <cellXfs count="739">
    <xf numFmtId="0" fontId="0" fillId="0" borderId="0" xfId="0"/>
    <xf numFmtId="0" fontId="8" fillId="0" borderId="0" xfId="0" applyFont="1" applyAlignment="1" applyProtection="1">
      <alignment vertical="center"/>
      <protection hidden="1"/>
    </xf>
    <xf numFmtId="0" fontId="9" fillId="0" borderId="0" xfId="0" applyFont="1" applyAlignment="1" applyProtection="1">
      <alignment vertical="center"/>
      <protection hidden="1"/>
    </xf>
    <xf numFmtId="38" fontId="8" fillId="0" borderId="0" xfId="2" applyFont="1" applyBorder="1" applyAlignment="1" applyProtection="1">
      <alignment vertical="center"/>
      <protection hidden="1"/>
    </xf>
    <xf numFmtId="182" fontId="8" fillId="0" borderId="0" xfId="0" applyNumberFormat="1" applyFont="1" applyAlignment="1" applyProtection="1">
      <alignment vertical="center"/>
      <protection hidden="1"/>
    </xf>
    <xf numFmtId="185" fontId="8" fillId="0" borderId="0" xfId="0" applyNumberFormat="1" applyFont="1" applyAlignment="1" applyProtection="1">
      <alignment vertical="center"/>
      <protection hidden="1"/>
    </xf>
    <xf numFmtId="38" fontId="8" fillId="2" borderId="0" xfId="2" applyFont="1" applyFill="1" applyBorder="1" applyAlignment="1" applyProtection="1">
      <alignment vertical="center"/>
      <protection hidden="1"/>
    </xf>
    <xf numFmtId="182" fontId="8" fillId="0" borderId="0" xfId="0" applyNumberFormat="1" applyFont="1" applyAlignment="1" applyProtection="1">
      <alignment horizontal="right" vertical="center"/>
      <protection hidden="1"/>
    </xf>
    <xf numFmtId="0" fontId="8" fillId="0" borderId="0" xfId="0" applyFont="1" applyAlignment="1" applyProtection="1">
      <alignment horizontal="right" vertical="center"/>
      <protection hidden="1"/>
    </xf>
    <xf numFmtId="191" fontId="8" fillId="0" borderId="0" xfId="0" applyNumberFormat="1" applyFont="1" applyAlignment="1" applyProtection="1">
      <alignment horizontal="right" vertical="center"/>
      <protection hidden="1"/>
    </xf>
    <xf numFmtId="191" fontId="8" fillId="0" borderId="0" xfId="0" applyNumberFormat="1" applyFont="1" applyAlignment="1" applyProtection="1">
      <alignment horizontal="center" vertical="center"/>
      <protection hidden="1"/>
    </xf>
    <xf numFmtId="182" fontId="8" fillId="0" borderId="0" xfId="0" applyNumberFormat="1" applyFont="1" applyAlignment="1" applyProtection="1">
      <alignment horizontal="center" vertical="center"/>
      <protection hidden="1"/>
    </xf>
    <xf numFmtId="185" fontId="8" fillId="0" borderId="0" xfId="0" applyNumberFormat="1" applyFont="1" applyAlignment="1" applyProtection="1">
      <alignment horizontal="center" vertical="center"/>
      <protection hidden="1"/>
    </xf>
    <xf numFmtId="181" fontId="8" fillId="0" borderId="0" xfId="0" applyNumberFormat="1" applyFont="1" applyAlignment="1" applyProtection="1">
      <alignment horizontal="right" vertical="center"/>
      <protection hidden="1"/>
    </xf>
    <xf numFmtId="184" fontId="8" fillId="0" borderId="0" xfId="0" applyNumberFormat="1" applyFont="1" applyAlignment="1" applyProtection="1">
      <alignment vertical="center"/>
      <protection hidden="1"/>
    </xf>
    <xf numFmtId="1" fontId="8" fillId="0" borderId="0" xfId="0" applyNumberFormat="1" applyFont="1" applyAlignment="1" applyProtection="1">
      <alignment horizontal="right"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left" vertical="center"/>
      <protection hidden="1"/>
    </xf>
    <xf numFmtId="0" fontId="8" fillId="0" borderId="0" xfId="0" applyFont="1" applyAlignment="1" applyProtection="1">
      <alignment horizontal="center" vertical="center"/>
      <protection locked="0"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center" vertical="center" wrapText="1"/>
      <protection hidden="1"/>
    </xf>
    <xf numFmtId="1" fontId="8" fillId="0" borderId="0" xfId="0" applyNumberFormat="1" applyFont="1" applyAlignment="1" applyProtection="1">
      <alignment horizontal="center" vertical="center"/>
      <protection hidden="1"/>
    </xf>
    <xf numFmtId="38" fontId="8" fillId="0" borderId="0" xfId="0" applyNumberFormat="1" applyFont="1" applyAlignment="1" applyProtection="1">
      <alignment horizontal="center" vertical="center"/>
      <protection hidden="1"/>
    </xf>
    <xf numFmtId="38" fontId="8" fillId="0" borderId="0" xfId="2" applyFont="1" applyFill="1" applyAlignment="1" applyProtection="1">
      <alignment vertical="center"/>
      <protection hidden="1"/>
    </xf>
    <xf numFmtId="0" fontId="8" fillId="0" borderId="0" xfId="0" applyFont="1" applyProtection="1">
      <protection hidden="1"/>
    </xf>
    <xf numFmtId="0" fontId="7"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0" fontId="6"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0" xfId="0" applyFont="1" applyAlignment="1" applyProtection="1">
      <alignment vertical="center"/>
      <protection hidden="1"/>
    </xf>
    <xf numFmtId="0" fontId="8" fillId="0" borderId="0" xfId="0" applyFont="1" applyAlignment="1" applyProtection="1">
      <alignment horizontal="center" vertical="top" textRotation="255" shrinkToFit="1"/>
      <protection hidden="1"/>
    </xf>
    <xf numFmtId="38" fontId="8" fillId="0" borderId="0" xfId="2" applyFont="1" applyFill="1" applyBorder="1" applyAlignment="1" applyProtection="1">
      <alignment horizontal="right" vertical="center"/>
      <protection hidden="1"/>
    </xf>
    <xf numFmtId="38" fontId="8" fillId="0" borderId="0" xfId="0" applyNumberFormat="1" applyFont="1" applyAlignment="1" applyProtection="1">
      <alignment vertical="center"/>
      <protection hidden="1"/>
    </xf>
    <xf numFmtId="183" fontId="8" fillId="0" borderId="0" xfId="0" applyNumberFormat="1" applyFont="1" applyAlignment="1" applyProtection="1">
      <alignment horizontal="right" vertical="center"/>
      <protection hidden="1"/>
    </xf>
    <xf numFmtId="38" fontId="8" fillId="0" borderId="0" xfId="2" applyFont="1" applyFill="1" applyBorder="1" applyAlignment="1" applyProtection="1">
      <alignment horizontal="center" vertical="center"/>
      <protection hidden="1"/>
    </xf>
    <xf numFmtId="0" fontId="8" fillId="0" borderId="0" xfId="0" applyFont="1" applyAlignment="1" applyProtection="1">
      <alignment horizontal="distributed" vertical="center"/>
      <protection hidden="1"/>
    </xf>
    <xf numFmtId="176" fontId="8" fillId="0" borderId="0" xfId="0" applyNumberFormat="1" applyFont="1" applyAlignment="1" applyProtection="1">
      <alignment vertical="center"/>
      <protection hidden="1"/>
    </xf>
    <xf numFmtId="38" fontId="8" fillId="0" borderId="0" xfId="2" applyFont="1" applyFill="1" applyAlignment="1" applyProtection="1">
      <alignment horizontal="center" vertical="center"/>
      <protection hidden="1"/>
    </xf>
    <xf numFmtId="38" fontId="8" fillId="0" borderId="0" xfId="2" applyFont="1" applyFill="1" applyBorder="1" applyAlignment="1" applyProtection="1">
      <alignment vertical="center"/>
      <protection hidden="1"/>
    </xf>
    <xf numFmtId="38" fontId="8" fillId="0" borderId="0" xfId="2" applyFont="1" applyFill="1" applyBorder="1" applyAlignment="1" applyProtection="1">
      <alignment horizontal="center" vertical="center" shrinkToFit="1"/>
      <protection hidden="1"/>
    </xf>
    <xf numFmtId="38" fontId="8" fillId="0" borderId="0" xfId="2" applyFont="1" applyFill="1" applyBorder="1" applyAlignment="1" applyProtection="1">
      <alignment horizontal="distributed" vertical="center"/>
      <protection hidden="1"/>
    </xf>
    <xf numFmtId="38" fontId="8" fillId="3" borderId="0" xfId="2" applyFont="1" applyFill="1" applyBorder="1" applyAlignment="1" applyProtection="1">
      <alignment horizontal="center" vertical="center"/>
      <protection hidden="1"/>
    </xf>
    <xf numFmtId="38" fontId="8" fillId="3" borderId="0" xfId="2" applyFont="1" applyFill="1" applyBorder="1" applyAlignment="1" applyProtection="1">
      <alignment horizontal="distributed" vertical="center"/>
      <protection hidden="1"/>
    </xf>
    <xf numFmtId="38" fontId="8" fillId="0" borderId="0" xfId="2" applyFont="1" applyFill="1" applyBorder="1" applyAlignment="1" applyProtection="1">
      <alignment vertical="center" shrinkToFit="1"/>
      <protection hidden="1"/>
    </xf>
    <xf numFmtId="0" fontId="4" fillId="0" borderId="0" xfId="0" applyFont="1" applyAlignment="1" applyProtection="1">
      <alignment vertical="center"/>
      <protection hidden="1"/>
    </xf>
    <xf numFmtId="189" fontId="8" fillId="4" borderId="1" xfId="0" applyNumberFormat="1" applyFont="1" applyFill="1" applyBorder="1" applyAlignment="1" applyProtection="1">
      <alignment horizontal="right" vertical="center"/>
      <protection hidden="1"/>
    </xf>
    <xf numFmtId="182" fontId="8" fillId="5" borderId="1" xfId="0" applyNumberFormat="1" applyFont="1" applyFill="1" applyBorder="1" applyAlignment="1" applyProtection="1">
      <alignment horizontal="center" vertical="center"/>
      <protection hidden="1"/>
    </xf>
    <xf numFmtId="183" fontId="8" fillId="5" borderId="1" xfId="0" applyNumberFormat="1" applyFont="1" applyFill="1" applyBorder="1" applyAlignment="1" applyProtection="1">
      <alignment vertical="center"/>
      <protection hidden="1"/>
    </xf>
    <xf numFmtId="183" fontId="8" fillId="5" borderId="1" xfId="0" applyNumberFormat="1" applyFont="1" applyFill="1" applyBorder="1" applyAlignment="1" applyProtection="1">
      <alignment horizontal="right" vertical="center"/>
      <protection hidden="1"/>
    </xf>
    <xf numFmtId="38" fontId="8" fillId="0" borderId="0" xfId="2" applyFont="1" applyFill="1" applyBorder="1" applyAlignment="1" applyProtection="1">
      <alignment vertical="top"/>
      <protection hidden="1"/>
    </xf>
    <xf numFmtId="0" fontId="4" fillId="0" borderId="0" xfId="0" applyFont="1" applyAlignment="1">
      <alignment horizontal="center"/>
    </xf>
    <xf numFmtId="49" fontId="4" fillId="0" borderId="0" xfId="0" applyNumberFormat="1" applyFont="1" applyAlignment="1">
      <alignment horizontal="center"/>
    </xf>
    <xf numFmtId="0" fontId="4" fillId="0" borderId="0" xfId="0" applyFont="1"/>
    <xf numFmtId="0" fontId="4" fillId="0" borderId="0" xfId="0" applyFont="1" applyAlignment="1" applyProtection="1">
      <alignment vertical="center"/>
      <protection locked="0"/>
    </xf>
    <xf numFmtId="0" fontId="4" fillId="0" borderId="0" xfId="0" applyFont="1" applyAlignment="1" applyProtection="1">
      <alignment horizontal="center" vertical="center"/>
      <protection hidden="1"/>
    </xf>
    <xf numFmtId="38" fontId="8" fillId="0" borderId="0" xfId="2" applyFont="1"/>
    <xf numFmtId="38" fontId="4" fillId="0" borderId="0" xfId="0" applyNumberFormat="1" applyFont="1"/>
    <xf numFmtId="38" fontId="8" fillId="0" borderId="0" xfId="2" applyFont="1" applyProtection="1">
      <protection hidden="1"/>
    </xf>
    <xf numFmtId="38" fontId="8" fillId="0" borderId="0" xfId="2" applyFont="1" applyAlignment="1" applyProtection="1">
      <alignment horizontal="center"/>
      <protection hidden="1"/>
    </xf>
    <xf numFmtId="40" fontId="8" fillId="0" borderId="0" xfId="2" applyNumberFormat="1" applyFont="1" applyProtection="1">
      <protection hidden="1"/>
    </xf>
    <xf numFmtId="38" fontId="14" fillId="0" borderId="0" xfId="2" applyFont="1" applyAlignment="1" applyProtection="1">
      <alignment horizontal="center"/>
      <protection hidden="1"/>
    </xf>
    <xf numFmtId="38" fontId="14" fillId="0" borderId="0" xfId="2" applyFont="1" applyAlignment="1" applyProtection="1">
      <protection hidden="1"/>
    </xf>
    <xf numFmtId="38" fontId="14" fillId="0" borderId="0" xfId="2" applyFont="1" applyProtection="1">
      <protection hidden="1"/>
    </xf>
    <xf numFmtId="40" fontId="14" fillId="0" borderId="0" xfId="2" applyNumberFormat="1" applyFont="1" applyProtection="1">
      <protection hidden="1"/>
    </xf>
    <xf numFmtId="38" fontId="15" fillId="0" borderId="0" xfId="2" applyFont="1"/>
    <xf numFmtId="38" fontId="8" fillId="0" borderId="0" xfId="2" applyFont="1" applyAlignment="1">
      <alignment horizontal="right"/>
    </xf>
    <xf numFmtId="0" fontId="14" fillId="0" borderId="0" xfId="0" applyFont="1" applyProtection="1">
      <protection hidden="1"/>
    </xf>
    <xf numFmtId="0" fontId="14" fillId="0" borderId="0" xfId="0" applyFont="1" applyAlignment="1" applyProtection="1">
      <alignment horizontal="center"/>
      <protection hidden="1"/>
    </xf>
    <xf numFmtId="38" fontId="14" fillId="0" borderId="0" xfId="2" applyFont="1" applyFill="1" applyBorder="1" applyProtection="1">
      <protection hidden="1"/>
    </xf>
    <xf numFmtId="0" fontId="8" fillId="0" borderId="0" xfId="0" applyFont="1" applyAlignment="1" applyProtection="1">
      <alignment horizontal="center" vertical="top" textRotation="255"/>
      <protection hidden="1"/>
    </xf>
    <xf numFmtId="0" fontId="8" fillId="0" borderId="0" xfId="0" applyFont="1" applyAlignment="1" applyProtection="1">
      <alignment vertical="center" wrapText="1"/>
      <protection hidden="1"/>
    </xf>
    <xf numFmtId="38" fontId="8" fillId="0" borderId="0" xfId="2" applyFont="1" applyFill="1" applyBorder="1" applyProtection="1">
      <protection hidden="1"/>
    </xf>
    <xf numFmtId="38" fontId="8" fillId="0" borderId="0" xfId="0" applyNumberFormat="1" applyFont="1" applyProtection="1">
      <protection hidden="1"/>
    </xf>
    <xf numFmtId="0" fontId="8" fillId="0" borderId="2" xfId="0" applyFont="1" applyBorder="1" applyAlignment="1" applyProtection="1">
      <alignment horizontal="center" vertical="center"/>
      <protection hidden="1"/>
    </xf>
    <xf numFmtId="0" fontId="11" fillId="5" borderId="3" xfId="0" applyFont="1" applyFill="1" applyBorder="1" applyAlignment="1" applyProtection="1">
      <alignment horizontal="center" vertical="center"/>
      <protection hidden="1"/>
    </xf>
    <xf numFmtId="0" fontId="11" fillId="5" borderId="4" xfId="0" applyFont="1" applyFill="1" applyBorder="1" applyAlignment="1" applyProtection="1">
      <alignment horizontal="center" vertical="center"/>
      <protection hidden="1"/>
    </xf>
    <xf numFmtId="38" fontId="8" fillId="6" borderId="5" xfId="2" applyFont="1" applyFill="1" applyBorder="1" applyAlignment="1" applyProtection="1">
      <alignment horizontal="right" vertical="center" shrinkToFit="1"/>
      <protection locked="0"/>
    </xf>
    <xf numFmtId="38" fontId="8" fillId="5" borderId="5" xfId="2" applyFont="1" applyFill="1" applyBorder="1" applyAlignment="1" applyProtection="1">
      <alignment horizontal="right" vertical="center" shrinkToFit="1"/>
      <protection hidden="1"/>
    </xf>
    <xf numFmtId="38" fontId="8" fillId="5" borderId="5" xfId="2" applyFont="1" applyFill="1" applyBorder="1" applyAlignment="1" applyProtection="1">
      <alignment horizontal="right" vertical="center"/>
      <protection hidden="1"/>
    </xf>
    <xf numFmtId="0" fontId="12" fillId="5" borderId="6" xfId="0" applyFont="1" applyFill="1" applyBorder="1" applyAlignment="1" applyProtection="1">
      <alignment horizontal="center" vertical="center"/>
      <protection hidden="1"/>
    </xf>
    <xf numFmtId="0" fontId="12" fillId="5" borderId="7" xfId="0" applyFont="1" applyFill="1" applyBorder="1" applyAlignment="1" applyProtection="1">
      <alignment horizontal="center" vertical="center"/>
      <protection hidden="1"/>
    </xf>
    <xf numFmtId="0" fontId="12" fillId="5" borderId="8" xfId="0" applyFont="1" applyFill="1" applyBorder="1" applyAlignment="1" applyProtection="1">
      <alignment horizontal="center" vertical="center"/>
      <protection hidden="1"/>
    </xf>
    <xf numFmtId="0" fontId="11" fillId="5" borderId="9" xfId="0" applyFont="1" applyFill="1" applyBorder="1" applyAlignment="1" applyProtection="1">
      <alignment horizontal="center" vertical="center"/>
      <protection hidden="1"/>
    </xf>
    <xf numFmtId="0" fontId="12" fillId="5" borderId="5" xfId="0" applyFont="1" applyFill="1" applyBorder="1" applyAlignment="1" applyProtection="1">
      <alignment horizontal="center" vertical="center"/>
      <protection hidden="1"/>
    </xf>
    <xf numFmtId="0" fontId="11" fillId="5" borderId="6" xfId="0" applyFont="1" applyFill="1" applyBorder="1" applyAlignment="1" applyProtection="1">
      <alignment horizontal="center" vertical="center"/>
      <protection hidden="1"/>
    </xf>
    <xf numFmtId="0" fontId="11" fillId="5" borderId="8" xfId="0" applyFont="1" applyFill="1" applyBorder="1" applyAlignment="1" applyProtection="1">
      <alignment horizontal="center" vertical="center"/>
      <protection hidden="1"/>
    </xf>
    <xf numFmtId="0" fontId="11" fillId="5" borderId="7" xfId="0" applyFont="1" applyFill="1" applyBorder="1" applyAlignment="1" applyProtection="1">
      <alignment horizontal="center" vertical="center"/>
      <protection hidden="1"/>
    </xf>
    <xf numFmtId="0" fontId="11" fillId="5" borderId="5" xfId="0" applyFont="1" applyFill="1" applyBorder="1" applyAlignment="1" applyProtection="1">
      <alignment horizontal="center" vertical="center"/>
      <protection hidden="1"/>
    </xf>
    <xf numFmtId="0" fontId="8" fillId="0" borderId="10" xfId="0" applyFont="1" applyBorder="1" applyAlignment="1" applyProtection="1">
      <alignment vertical="center" shrinkToFit="1"/>
      <protection hidden="1"/>
    </xf>
    <xf numFmtId="0" fontId="8" fillId="4" borderId="2" xfId="0" applyFont="1" applyFill="1" applyBorder="1" applyAlignment="1" applyProtection="1">
      <alignment vertical="center"/>
      <protection hidden="1"/>
    </xf>
    <xf numFmtId="0" fontId="8" fillId="0" borderId="5" xfId="0" applyFont="1" applyBorder="1" applyAlignment="1" applyProtection="1">
      <alignment horizontal="distributed" vertical="center"/>
      <protection hidden="1"/>
    </xf>
    <xf numFmtId="38" fontId="8" fillId="6" borderId="5" xfId="2" applyFont="1" applyFill="1" applyBorder="1" applyAlignment="1" applyProtection="1">
      <alignment vertical="center" shrinkToFit="1"/>
      <protection locked="0"/>
    </xf>
    <xf numFmtId="38" fontId="8" fillId="0" borderId="5" xfId="2" applyFont="1" applyFill="1" applyBorder="1" applyAlignment="1" applyProtection="1">
      <alignment vertical="center" shrinkToFit="1"/>
      <protection locked="0"/>
    </xf>
    <xf numFmtId="38" fontId="8" fillId="0" borderId="5" xfId="2" applyFont="1" applyFill="1" applyBorder="1" applyAlignment="1" applyProtection="1">
      <alignment horizontal="right" vertical="center" shrinkToFit="1"/>
      <protection locked="0"/>
    </xf>
    <xf numFmtId="38" fontId="8" fillId="5" borderId="5" xfId="2" applyFont="1" applyFill="1" applyBorder="1" applyAlignment="1" applyProtection="1">
      <alignment vertical="center" shrinkToFit="1"/>
      <protection hidden="1"/>
    </xf>
    <xf numFmtId="177" fontId="8" fillId="5" borderId="5" xfId="0" applyNumberFormat="1" applyFont="1" applyFill="1" applyBorder="1" applyAlignment="1" applyProtection="1">
      <alignment horizontal="right" vertical="center"/>
      <protection hidden="1"/>
    </xf>
    <xf numFmtId="189" fontId="8" fillId="4" borderId="2" xfId="0" applyNumberFormat="1" applyFont="1" applyFill="1" applyBorder="1" applyAlignment="1" applyProtection="1">
      <alignment horizontal="right" vertical="center"/>
      <protection hidden="1"/>
    </xf>
    <xf numFmtId="189" fontId="8" fillId="4" borderId="10" xfId="0" applyNumberFormat="1" applyFont="1" applyFill="1" applyBorder="1" applyAlignment="1" applyProtection="1">
      <alignment horizontal="right" vertical="center"/>
      <protection hidden="1"/>
    </xf>
    <xf numFmtId="38" fontId="8" fillId="5" borderId="5" xfId="2" applyFont="1" applyFill="1" applyBorder="1" applyAlignment="1" applyProtection="1">
      <alignment vertical="center"/>
      <protection hidden="1"/>
    </xf>
    <xf numFmtId="38" fontId="8" fillId="0" borderId="5" xfId="2" applyFont="1" applyFill="1" applyBorder="1" applyAlignment="1" applyProtection="1">
      <alignment horizontal="center" vertical="center" shrinkToFit="1"/>
      <protection hidden="1"/>
    </xf>
    <xf numFmtId="0" fontId="8" fillId="0" borderId="4" xfId="0" applyFont="1" applyBorder="1" applyAlignment="1" applyProtection="1">
      <alignment horizontal="distributed" vertical="center"/>
      <protection hidden="1"/>
    </xf>
    <xf numFmtId="0" fontId="8" fillId="0" borderId="9" xfId="0" applyFont="1" applyBorder="1" applyAlignment="1" applyProtection="1">
      <alignment horizontal="distributed" vertical="center"/>
      <protection hidden="1"/>
    </xf>
    <xf numFmtId="0" fontId="8" fillId="0" borderId="11" xfId="0" applyFont="1" applyBorder="1" applyAlignment="1" applyProtection="1">
      <alignment horizontal="distributed" vertical="center"/>
      <protection hidden="1"/>
    </xf>
    <xf numFmtId="0" fontId="8" fillId="5" borderId="12" xfId="0" applyFont="1" applyFill="1" applyBorder="1" applyAlignment="1" applyProtection="1">
      <alignment vertical="center"/>
      <protection hidden="1"/>
    </xf>
    <xf numFmtId="0" fontId="8" fillId="0" borderId="9" xfId="0" applyFont="1" applyBorder="1" applyAlignment="1" applyProtection="1">
      <alignment vertical="center"/>
      <protection hidden="1"/>
    </xf>
    <xf numFmtId="0" fontId="8" fillId="0" borderId="14" xfId="0" applyFont="1" applyBorder="1" applyAlignment="1" applyProtection="1">
      <alignment vertical="center"/>
      <protection hidden="1"/>
    </xf>
    <xf numFmtId="176" fontId="8" fillId="5" borderId="5" xfId="0" applyNumberFormat="1" applyFont="1" applyFill="1" applyBorder="1" applyAlignment="1" applyProtection="1">
      <alignment horizontal="right" vertical="center"/>
      <protection hidden="1"/>
    </xf>
    <xf numFmtId="176" fontId="8" fillId="5" borderId="15" xfId="0" applyNumberFormat="1" applyFont="1" applyFill="1" applyBorder="1" applyAlignment="1" applyProtection="1">
      <alignment vertical="center"/>
      <protection hidden="1"/>
    </xf>
    <xf numFmtId="0" fontId="8" fillId="5" borderId="16" xfId="0" applyFont="1" applyFill="1" applyBorder="1" applyAlignment="1" applyProtection="1">
      <alignment vertical="center"/>
      <protection hidden="1"/>
    </xf>
    <xf numFmtId="179" fontId="8" fillId="5" borderId="17" xfId="0" applyNumberFormat="1" applyFont="1" applyFill="1" applyBorder="1" applyAlignment="1" applyProtection="1">
      <alignment vertical="center"/>
      <protection hidden="1"/>
    </xf>
    <xf numFmtId="0" fontId="8" fillId="0" borderId="11" xfId="0" applyFont="1" applyBorder="1" applyAlignment="1" applyProtection="1">
      <alignment horizontal="center" vertical="center"/>
      <protection hidden="1"/>
    </xf>
    <xf numFmtId="0" fontId="8" fillId="5" borderId="16" xfId="0" applyFont="1" applyFill="1" applyBorder="1" applyAlignment="1" applyProtection="1">
      <alignment horizontal="right" vertical="center"/>
      <protection hidden="1"/>
    </xf>
    <xf numFmtId="0" fontId="8" fillId="5" borderId="12" xfId="0" applyFont="1" applyFill="1" applyBorder="1" applyAlignment="1" applyProtection="1">
      <alignment horizontal="right" vertical="center"/>
      <protection hidden="1"/>
    </xf>
    <xf numFmtId="176" fontId="8" fillId="5" borderId="17" xfId="0" applyNumberFormat="1" applyFont="1" applyFill="1" applyBorder="1" applyAlignment="1" applyProtection="1">
      <alignment vertical="center"/>
      <protection hidden="1"/>
    </xf>
    <xf numFmtId="176" fontId="8" fillId="5" borderId="5" xfId="0" applyNumberFormat="1" applyFont="1" applyFill="1" applyBorder="1" applyAlignment="1" applyProtection="1">
      <alignment vertical="center"/>
      <protection hidden="1"/>
    </xf>
    <xf numFmtId="176" fontId="8" fillId="5" borderId="8" xfId="0" applyNumberFormat="1" applyFont="1" applyFill="1" applyBorder="1" applyAlignment="1" applyProtection="1">
      <alignment vertical="center"/>
      <protection hidden="1"/>
    </xf>
    <xf numFmtId="0" fontId="8" fillId="0" borderId="0" xfId="0" applyFont="1" applyAlignment="1" applyProtection="1">
      <alignment horizontal="distributed" vertical="center" indent="1"/>
      <protection hidden="1"/>
    </xf>
    <xf numFmtId="38" fontId="8" fillId="0" borderId="14" xfId="2" applyFont="1" applyFill="1" applyBorder="1" applyAlignment="1" applyProtection="1">
      <alignment horizontal="center" vertical="center"/>
      <protection hidden="1"/>
    </xf>
    <xf numFmtId="38" fontId="8" fillId="0" borderId="18" xfId="2" applyFont="1" applyFill="1" applyBorder="1" applyAlignment="1" applyProtection="1">
      <alignment horizontal="center" vertical="center"/>
      <protection hidden="1"/>
    </xf>
    <xf numFmtId="38" fontId="8" fillId="0" borderId="16" xfId="2" applyFont="1" applyFill="1" applyBorder="1" applyAlignment="1" applyProtection="1">
      <alignment horizontal="center" vertical="center"/>
      <protection hidden="1"/>
    </xf>
    <xf numFmtId="38" fontId="8" fillId="0" borderId="19" xfId="2" applyFont="1" applyFill="1" applyBorder="1" applyAlignment="1" applyProtection="1">
      <alignment horizontal="center" vertical="center"/>
      <protection hidden="1"/>
    </xf>
    <xf numFmtId="38" fontId="8" fillId="0" borderId="3" xfId="2" applyFont="1" applyFill="1" applyBorder="1" applyAlignment="1" applyProtection="1">
      <alignment horizontal="center" vertical="center"/>
      <protection hidden="1"/>
    </xf>
    <xf numFmtId="38" fontId="8" fillId="0" borderId="9" xfId="2" applyFont="1" applyFill="1" applyBorder="1" applyAlignment="1" applyProtection="1">
      <alignment horizontal="center" vertical="center"/>
      <protection hidden="1"/>
    </xf>
    <xf numFmtId="0" fontId="18" fillId="0" borderId="5" xfId="0" applyFont="1" applyBorder="1" applyAlignment="1" applyProtection="1">
      <alignment horizontal="center" vertical="top" textRotation="255"/>
      <protection hidden="1"/>
    </xf>
    <xf numFmtId="0" fontId="18" fillId="0" borderId="6" xfId="0" applyFont="1" applyBorder="1" applyAlignment="1" applyProtection="1">
      <alignment horizontal="center" vertical="center" shrinkToFit="1"/>
      <protection hidden="1"/>
    </xf>
    <xf numFmtId="0" fontId="18" fillId="0" borderId="8" xfId="0" applyFont="1" applyBorder="1" applyAlignment="1" applyProtection="1">
      <alignment horizontal="center" vertical="center" shrinkToFit="1"/>
      <protection hidden="1"/>
    </xf>
    <xf numFmtId="0" fontId="18" fillId="0" borderId="15" xfId="0" applyFont="1" applyBorder="1" applyAlignment="1" applyProtection="1">
      <alignment horizontal="left" vertical="center"/>
      <protection hidden="1"/>
    </xf>
    <xf numFmtId="0" fontId="18" fillId="0" borderId="0" xfId="0" applyFont="1" applyAlignment="1" applyProtection="1">
      <alignment horizontal="left" vertical="center"/>
      <protection hidden="1"/>
    </xf>
    <xf numFmtId="0" fontId="17" fillId="0" borderId="0" xfId="0" applyFont="1" applyAlignment="1" applyProtection="1">
      <alignment vertical="center"/>
      <protection hidden="1"/>
    </xf>
    <xf numFmtId="38" fontId="18" fillId="0" borderId="6" xfId="2" applyFont="1" applyFill="1" applyBorder="1" applyAlignment="1" applyProtection="1">
      <alignment horizontal="center" vertical="center"/>
      <protection hidden="1"/>
    </xf>
    <xf numFmtId="38" fontId="18" fillId="0" borderId="8" xfId="2" applyFont="1" applyFill="1" applyBorder="1" applyAlignment="1" applyProtection="1">
      <alignment horizontal="center" vertical="center"/>
      <protection hidden="1"/>
    </xf>
    <xf numFmtId="0" fontId="18" fillId="0" borderId="5" xfId="0" applyFont="1" applyBorder="1" applyAlignment="1" applyProtection="1">
      <alignment horizontal="distributed" vertical="center"/>
      <protection hidden="1"/>
    </xf>
    <xf numFmtId="0" fontId="18" fillId="0" borderId="5" xfId="0" applyFont="1" applyBorder="1" applyAlignment="1" applyProtection="1">
      <alignment horizontal="center" vertical="center"/>
      <protection hidden="1"/>
    </xf>
    <xf numFmtId="0" fontId="18" fillId="0" borderId="5" xfId="0" applyFont="1" applyBorder="1" applyAlignment="1" applyProtection="1">
      <alignment horizontal="distributed" vertical="center" indent="1" shrinkToFit="1"/>
      <protection hidden="1"/>
    </xf>
    <xf numFmtId="38" fontId="18" fillId="0" borderId="5" xfId="2" applyFont="1" applyFill="1" applyBorder="1" applyAlignment="1" applyProtection="1">
      <alignment horizontal="center" vertical="center" shrinkToFit="1"/>
      <protection hidden="1"/>
    </xf>
    <xf numFmtId="0" fontId="18" fillId="0" borderId="17" xfId="0" applyFont="1" applyBorder="1" applyAlignment="1" applyProtection="1">
      <alignment horizontal="center" vertical="center"/>
      <protection hidden="1"/>
    </xf>
    <xf numFmtId="38" fontId="18" fillId="0" borderId="0" xfId="2" applyFont="1" applyFill="1" applyBorder="1" applyAlignment="1" applyProtection="1">
      <alignment horizontal="left" vertical="center"/>
      <protection hidden="1"/>
    </xf>
    <xf numFmtId="0" fontId="8" fillId="7" borderId="0" xfId="0" applyFont="1" applyFill="1" applyAlignment="1" applyProtection="1">
      <alignment horizontal="center" vertical="center"/>
      <protection hidden="1"/>
    </xf>
    <xf numFmtId="0" fontId="8" fillId="7" borderId="5" xfId="0" applyFont="1" applyFill="1" applyBorder="1" applyAlignment="1" applyProtection="1">
      <alignment horizontal="center" vertical="center" shrinkToFit="1"/>
      <protection hidden="1"/>
    </xf>
    <xf numFmtId="38" fontId="8" fillId="7" borderId="5" xfId="2" applyFont="1" applyFill="1" applyBorder="1" applyAlignment="1" applyProtection="1">
      <alignment horizontal="right" vertical="center"/>
      <protection hidden="1"/>
    </xf>
    <xf numFmtId="186" fontId="8" fillId="7" borderId="0" xfId="2" applyNumberFormat="1" applyFont="1" applyFill="1" applyBorder="1" applyAlignment="1" applyProtection="1">
      <alignment horizontal="right" vertical="center"/>
      <protection hidden="1"/>
    </xf>
    <xf numFmtId="0" fontId="8" fillId="7" borderId="5" xfId="0" applyFont="1" applyFill="1" applyBorder="1" applyAlignment="1" applyProtection="1">
      <alignment vertical="center"/>
      <protection hidden="1"/>
    </xf>
    <xf numFmtId="0" fontId="8" fillId="7" borderId="5" xfId="0" applyFont="1" applyFill="1" applyBorder="1" applyAlignment="1" applyProtection="1">
      <alignment horizontal="left" vertical="center" shrinkToFit="1"/>
      <protection hidden="1"/>
    </xf>
    <xf numFmtId="187" fontId="8" fillId="7" borderId="5" xfId="2" applyNumberFormat="1" applyFont="1" applyFill="1" applyBorder="1" applyAlignment="1" applyProtection="1">
      <alignment horizontal="right" vertical="center"/>
      <protection hidden="1"/>
    </xf>
    <xf numFmtId="0" fontId="8" fillId="7" borderId="5" xfId="0" applyFont="1" applyFill="1" applyBorder="1" applyAlignment="1" applyProtection="1">
      <alignment vertical="center" shrinkToFit="1"/>
      <protection hidden="1"/>
    </xf>
    <xf numFmtId="0" fontId="9" fillId="7" borderId="5" xfId="0" applyFont="1" applyFill="1" applyBorder="1" applyAlignment="1" applyProtection="1">
      <alignment vertical="center" shrinkToFit="1"/>
      <protection hidden="1"/>
    </xf>
    <xf numFmtId="0" fontId="9" fillId="8" borderId="0" xfId="0" applyFont="1" applyFill="1" applyAlignment="1" applyProtection="1">
      <alignment vertical="center"/>
      <protection hidden="1"/>
    </xf>
    <xf numFmtId="0" fontId="12" fillId="8" borderId="0" xfId="0" applyFont="1" applyFill="1" applyAlignment="1" applyProtection="1">
      <alignment vertical="center"/>
      <protection hidden="1"/>
    </xf>
    <xf numFmtId="0" fontId="8" fillId="8" borderId="0" xfId="0" applyFont="1" applyFill="1" applyAlignment="1" applyProtection="1">
      <alignment horizontal="center" vertical="top" textRotation="255" shrinkToFit="1"/>
      <protection hidden="1"/>
    </xf>
    <xf numFmtId="0" fontId="8" fillId="8" borderId="0" xfId="0" applyFont="1" applyFill="1" applyAlignment="1" applyProtection="1">
      <alignment horizontal="center" vertical="center"/>
      <protection hidden="1"/>
    </xf>
    <xf numFmtId="38" fontId="8" fillId="8" borderId="0" xfId="2" applyFont="1" applyFill="1" applyBorder="1" applyAlignment="1" applyProtection="1">
      <alignment horizontal="right" vertical="center"/>
      <protection hidden="1"/>
    </xf>
    <xf numFmtId="0" fontId="8" fillId="8" borderId="0" xfId="0" applyFont="1" applyFill="1" applyAlignment="1" applyProtection="1">
      <alignment vertical="center"/>
      <protection hidden="1"/>
    </xf>
    <xf numFmtId="0" fontId="6" fillId="8" borderId="0" xfId="0" applyFont="1" applyFill="1" applyAlignment="1" applyProtection="1">
      <alignment vertical="center"/>
      <protection hidden="1"/>
    </xf>
    <xf numFmtId="0" fontId="8" fillId="9" borderId="5" xfId="0" applyFont="1" applyFill="1" applyBorder="1" applyAlignment="1" applyProtection="1">
      <alignment horizontal="center" vertical="center"/>
      <protection hidden="1"/>
    </xf>
    <xf numFmtId="38" fontId="8" fillId="9" borderId="5" xfId="2" applyFont="1" applyFill="1" applyBorder="1" applyAlignment="1" applyProtection="1">
      <alignment horizontal="center" vertical="center"/>
      <protection hidden="1"/>
    </xf>
    <xf numFmtId="38" fontId="8" fillId="8" borderId="5" xfId="2" applyFont="1" applyFill="1" applyBorder="1" applyAlignment="1" applyProtection="1">
      <alignment horizontal="right" vertical="center"/>
      <protection hidden="1"/>
    </xf>
    <xf numFmtId="182" fontId="8" fillId="9" borderId="5" xfId="0" applyNumberFormat="1" applyFont="1" applyFill="1" applyBorder="1" applyAlignment="1" applyProtection="1">
      <alignment horizontal="center" vertical="center"/>
      <protection hidden="1"/>
    </xf>
    <xf numFmtId="186" fontId="8" fillId="8" borderId="0" xfId="2" applyNumberFormat="1" applyFont="1" applyFill="1" applyBorder="1" applyAlignment="1" applyProtection="1">
      <alignment horizontal="right" vertical="center"/>
      <protection hidden="1"/>
    </xf>
    <xf numFmtId="0" fontId="8" fillId="8" borderId="5" xfId="0" applyFont="1" applyFill="1" applyBorder="1" applyAlignment="1" applyProtection="1">
      <alignment vertical="center"/>
      <protection hidden="1"/>
    </xf>
    <xf numFmtId="0" fontId="8" fillId="8" borderId="5" xfId="0" applyFont="1" applyFill="1" applyBorder="1" applyAlignment="1" applyProtection="1">
      <alignment horizontal="center" vertical="center" shrinkToFit="1"/>
      <protection hidden="1"/>
    </xf>
    <xf numFmtId="0" fontId="8" fillId="8" borderId="5" xfId="0" applyFont="1" applyFill="1" applyBorder="1" applyAlignment="1" applyProtection="1">
      <alignment horizontal="left" vertical="center" shrinkToFit="1"/>
      <protection hidden="1"/>
    </xf>
    <xf numFmtId="0" fontId="8" fillId="8" borderId="5" xfId="0" applyFont="1" applyFill="1" applyBorder="1" applyAlignment="1" applyProtection="1">
      <alignment vertical="center" shrinkToFit="1"/>
      <protection hidden="1"/>
    </xf>
    <xf numFmtId="0" fontId="9" fillId="8" borderId="5" xfId="0" applyFont="1" applyFill="1" applyBorder="1" applyAlignment="1" applyProtection="1">
      <alignment vertical="center" shrinkToFit="1"/>
      <protection hidden="1"/>
    </xf>
    <xf numFmtId="38" fontId="8" fillId="0" borderId="0" xfId="2" applyFont="1" applyAlignment="1" applyProtection="1">
      <alignment horizontal="right"/>
      <protection hidden="1"/>
    </xf>
    <xf numFmtId="0" fontId="8" fillId="0" borderId="0" xfId="2" applyNumberFormat="1" applyFont="1" applyAlignment="1">
      <alignment horizontal="center"/>
    </xf>
    <xf numFmtId="55" fontId="8" fillId="0" borderId="0" xfId="2" applyNumberFormat="1" applyFont="1" applyAlignment="1"/>
    <xf numFmtId="0" fontId="8" fillId="0" borderId="0" xfId="2" applyNumberFormat="1" applyFont="1" applyAlignment="1"/>
    <xf numFmtId="38" fontId="8" fillId="0" borderId="0" xfId="2" applyFont="1" applyAlignment="1">
      <alignment horizontal="center"/>
    </xf>
    <xf numFmtId="38" fontId="8" fillId="0" borderId="0" xfId="2" applyFont="1" applyBorder="1" applyProtection="1">
      <protection hidden="1"/>
    </xf>
    <xf numFmtId="1" fontId="8" fillId="4" borderId="0" xfId="0" applyNumberFormat="1" applyFont="1" applyFill="1" applyAlignment="1" applyProtection="1">
      <alignment horizontal="center" vertical="center"/>
      <protection hidden="1"/>
    </xf>
    <xf numFmtId="38" fontId="8" fillId="4" borderId="0" xfId="0" applyNumberFormat="1" applyFont="1" applyFill="1" applyAlignment="1" applyProtection="1">
      <alignment horizontal="center" vertical="center"/>
      <protection hidden="1"/>
    </xf>
    <xf numFmtId="0" fontId="8" fillId="4" borderId="0" xfId="0" applyFont="1" applyFill="1" applyAlignment="1" applyProtection="1">
      <alignment horizontal="center" vertical="center"/>
      <protection hidden="1"/>
    </xf>
    <xf numFmtId="0" fontId="20" fillId="0" borderId="0" xfId="0" applyFont="1" applyAlignment="1" applyProtection="1">
      <alignment horizontal="center" vertical="center"/>
      <protection hidden="1"/>
    </xf>
    <xf numFmtId="0" fontId="20" fillId="0" borderId="0" xfId="0" applyFont="1" applyAlignment="1" applyProtection="1">
      <alignment vertical="center"/>
      <protection hidden="1"/>
    </xf>
    <xf numFmtId="0" fontId="7" fillId="8" borderId="0" xfId="0" applyFont="1" applyFill="1" applyAlignment="1" applyProtection="1">
      <alignment vertical="center"/>
      <protection hidden="1"/>
    </xf>
    <xf numFmtId="0" fontId="7" fillId="0" borderId="0" xfId="0" applyFont="1" applyAlignment="1" applyProtection="1">
      <alignment vertical="center"/>
      <protection hidden="1"/>
    </xf>
    <xf numFmtId="38" fontId="8" fillId="9" borderId="6" xfId="2" applyFont="1" applyFill="1" applyBorder="1" applyAlignment="1" applyProtection="1">
      <alignment horizontal="center" vertical="center"/>
      <protection hidden="1"/>
    </xf>
    <xf numFmtId="0" fontId="8" fillId="0" borderId="0" xfId="0" applyFont="1" applyAlignment="1" applyProtection="1">
      <alignment horizontal="center" vertical="center" shrinkToFit="1"/>
      <protection hidden="1"/>
    </xf>
    <xf numFmtId="38" fontId="8" fillId="4" borderId="1" xfId="2" applyFont="1" applyFill="1" applyBorder="1" applyAlignment="1" applyProtection="1">
      <alignment horizontal="right" vertical="center" shrinkToFit="1"/>
      <protection hidden="1"/>
    </xf>
    <xf numFmtId="38" fontId="8" fillId="0" borderId="0" xfId="2" applyFont="1" applyFill="1" applyBorder="1" applyAlignment="1" applyProtection="1">
      <alignment horizontal="right" vertical="center" shrinkToFit="1"/>
      <protection hidden="1"/>
    </xf>
    <xf numFmtId="0" fontId="16" fillId="0" borderId="0" xfId="0" applyFont="1" applyAlignment="1" applyProtection="1">
      <alignment horizontal="center" vertical="center"/>
      <protection hidden="1"/>
    </xf>
    <xf numFmtId="0" fontId="16" fillId="0" borderId="0" xfId="0" applyFont="1" applyAlignment="1" applyProtection="1">
      <alignment vertical="center"/>
      <protection hidden="1"/>
    </xf>
    <xf numFmtId="0" fontId="21" fillId="0" borderId="0" xfId="0" applyFont="1" applyAlignment="1" applyProtection="1">
      <alignment vertical="center" shrinkToFit="1"/>
      <protection hidden="1"/>
    </xf>
    <xf numFmtId="0" fontId="21"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23" fillId="0" borderId="0" xfId="0" applyFont="1" applyAlignment="1" applyProtection="1">
      <alignment vertical="center"/>
      <protection hidden="1"/>
    </xf>
    <xf numFmtId="0" fontId="21" fillId="0" borderId="21" xfId="0" applyFont="1" applyBorder="1" applyAlignment="1" applyProtection="1">
      <alignment horizontal="distributed" vertical="center"/>
      <protection hidden="1"/>
    </xf>
    <xf numFmtId="0" fontId="21" fillId="0" borderId="22" xfId="0" applyFont="1" applyBorder="1" applyAlignment="1" applyProtection="1">
      <alignment vertical="center"/>
      <protection hidden="1"/>
    </xf>
    <xf numFmtId="0" fontId="21" fillId="0" borderId="21" xfId="0" applyFont="1" applyBorder="1" applyAlignment="1" applyProtection="1">
      <alignment vertical="center"/>
      <protection hidden="1"/>
    </xf>
    <xf numFmtId="0" fontId="21" fillId="0" borderId="23" xfId="0" applyFont="1" applyBorder="1" applyAlignment="1" applyProtection="1">
      <alignment vertical="center"/>
      <protection hidden="1"/>
    </xf>
    <xf numFmtId="0" fontId="21" fillId="0" borderId="24" xfId="0" applyFont="1" applyBorder="1" applyAlignment="1" applyProtection="1">
      <alignment vertical="center"/>
      <protection hidden="1"/>
    </xf>
    <xf numFmtId="0" fontId="21" fillId="0" borderId="25" xfId="0" applyFont="1" applyBorder="1" applyAlignment="1" applyProtection="1">
      <alignment vertical="center"/>
      <protection hidden="1"/>
    </xf>
    <xf numFmtId="0" fontId="21" fillId="0" borderId="26" xfId="0" applyFont="1" applyBorder="1" applyAlignment="1" applyProtection="1">
      <alignment vertical="center"/>
      <protection hidden="1"/>
    </xf>
    <xf numFmtId="0" fontId="21" fillId="0" borderId="27" xfId="0" applyFont="1" applyBorder="1" applyAlignment="1" applyProtection="1">
      <alignment vertical="center"/>
      <protection hidden="1"/>
    </xf>
    <xf numFmtId="0" fontId="21" fillId="0" borderId="24" xfId="0" applyFont="1" applyBorder="1" applyProtection="1">
      <protection hidden="1"/>
    </xf>
    <xf numFmtId="38" fontId="21" fillId="0" borderId="0" xfId="0" applyNumberFormat="1" applyFont="1" applyAlignment="1" applyProtection="1">
      <alignment vertical="center"/>
      <protection hidden="1"/>
    </xf>
    <xf numFmtId="0" fontId="21" fillId="0" borderId="0" xfId="0" applyFont="1" applyProtection="1">
      <protection hidden="1"/>
    </xf>
    <xf numFmtId="0" fontId="21" fillId="0" borderId="27" xfId="0" applyFont="1" applyBorder="1" applyProtection="1">
      <protection hidden="1"/>
    </xf>
    <xf numFmtId="38" fontId="21" fillId="0" borderId="26" xfId="0" applyNumberFormat="1" applyFont="1" applyBorder="1" applyAlignment="1" applyProtection="1">
      <alignment vertical="center"/>
      <protection hidden="1"/>
    </xf>
    <xf numFmtId="0" fontId="21" fillId="0" borderId="28" xfId="0" applyFont="1" applyBorder="1" applyProtection="1">
      <protection hidden="1"/>
    </xf>
    <xf numFmtId="38" fontId="21" fillId="0" borderId="0" xfId="0" applyNumberFormat="1" applyFont="1" applyAlignment="1" applyProtection="1">
      <alignment horizontal="right" vertical="center"/>
      <protection hidden="1"/>
    </xf>
    <xf numFmtId="0" fontId="21" fillId="0" borderId="0" xfId="0" applyFont="1" applyAlignment="1" applyProtection="1">
      <alignment horizontal="right" vertical="center"/>
      <protection hidden="1"/>
    </xf>
    <xf numFmtId="0" fontId="21" fillId="0" borderId="27" xfId="0" applyFont="1" applyBorder="1" applyAlignment="1" applyProtection="1">
      <alignment horizontal="right" vertical="center"/>
      <protection hidden="1"/>
    </xf>
    <xf numFmtId="38" fontId="21" fillId="0" borderId="26" xfId="0" applyNumberFormat="1" applyFont="1" applyBorder="1" applyAlignment="1" applyProtection="1">
      <alignment horizontal="right" vertical="center"/>
      <protection hidden="1"/>
    </xf>
    <xf numFmtId="0" fontId="21" fillId="0" borderId="28" xfId="0" applyFont="1" applyBorder="1" applyAlignment="1" applyProtection="1">
      <alignment vertical="center"/>
      <protection hidden="1"/>
    </xf>
    <xf numFmtId="38" fontId="21" fillId="0" borderId="0" xfId="2" applyFont="1" applyFill="1" applyBorder="1" applyAlignment="1" applyProtection="1">
      <alignment vertical="center"/>
      <protection hidden="1"/>
    </xf>
    <xf numFmtId="0" fontId="22" fillId="0" borderId="0" xfId="0" applyFont="1" applyAlignment="1" applyProtection="1">
      <alignment vertical="center"/>
      <protection hidden="1"/>
    </xf>
    <xf numFmtId="38" fontId="8" fillId="0" borderId="0" xfId="2" applyFont="1" applyBorder="1" applyAlignment="1" applyProtection="1">
      <alignment vertical="center"/>
      <protection locked="0" hidden="1"/>
    </xf>
    <xf numFmtId="0" fontId="18" fillId="0" borderId="6" xfId="0" applyFont="1" applyBorder="1" applyAlignment="1" applyProtection="1">
      <alignment horizontal="center" vertical="center"/>
      <protection hidden="1"/>
    </xf>
    <xf numFmtId="0" fontId="8" fillId="6" borderId="5" xfId="0" applyFont="1" applyFill="1" applyBorder="1" applyAlignment="1" applyProtection="1">
      <alignment horizontal="center" vertical="center"/>
      <protection locked="0"/>
    </xf>
    <xf numFmtId="0" fontId="24" fillId="0" borderId="0" xfId="0" applyFont="1" applyAlignment="1" applyProtection="1">
      <alignment vertical="center"/>
      <protection hidden="1"/>
    </xf>
    <xf numFmtId="0" fontId="25" fillId="0" borderId="0" xfId="0" applyFont="1" applyProtection="1">
      <protection hidden="1"/>
    </xf>
    <xf numFmtId="0" fontId="25" fillId="0" borderId="0" xfId="0" applyFont="1" applyAlignment="1" applyProtection="1">
      <alignment vertical="center"/>
      <protection hidden="1"/>
    </xf>
    <xf numFmtId="0" fontId="26"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0" fontId="27" fillId="0" borderId="0" xfId="0" applyFont="1" applyAlignment="1" applyProtection="1">
      <alignment horizontal="center" vertical="center"/>
      <protection hidden="1"/>
    </xf>
    <xf numFmtId="0" fontId="27" fillId="0" borderId="0" xfId="0" applyFont="1" applyProtection="1">
      <protection hidden="1"/>
    </xf>
    <xf numFmtId="0" fontId="27" fillId="0" borderId="0" xfId="0" applyFont="1" applyAlignment="1" applyProtection="1">
      <alignment horizontal="center"/>
      <protection hidden="1"/>
    </xf>
    <xf numFmtId="0" fontId="8" fillId="0" borderId="6" xfId="0" applyFont="1" applyBorder="1" applyAlignment="1" applyProtection="1">
      <alignment vertical="center"/>
      <protection hidden="1"/>
    </xf>
    <xf numFmtId="0" fontId="8" fillId="0" borderId="0" xfId="0" applyFont="1" applyAlignment="1" applyProtection="1">
      <alignment horizontal="left" vertical="center" indent="1"/>
      <protection hidden="1"/>
    </xf>
    <xf numFmtId="0" fontId="18" fillId="0" borderId="11" xfId="0" applyFont="1" applyBorder="1" applyAlignment="1" applyProtection="1">
      <alignment horizontal="center" vertical="center"/>
      <protection hidden="1"/>
    </xf>
    <xf numFmtId="0" fontId="8" fillId="0" borderId="11" xfId="0" applyFont="1" applyBorder="1" applyAlignment="1" applyProtection="1">
      <alignment vertical="center"/>
      <protection hidden="1"/>
    </xf>
    <xf numFmtId="188" fontId="18" fillId="0" borderId="5" xfId="0" applyNumberFormat="1" applyFont="1" applyBorder="1" applyAlignment="1" applyProtection="1">
      <alignment horizontal="center" vertical="center"/>
      <protection hidden="1"/>
    </xf>
    <xf numFmtId="0" fontId="8" fillId="0" borderId="17" xfId="0" applyFont="1" applyBorder="1" applyProtection="1">
      <protection hidden="1"/>
    </xf>
    <xf numFmtId="0" fontId="8" fillId="0" borderId="0" xfId="0" applyFont="1" applyAlignment="1" applyProtection="1">
      <alignment horizontal="distributed"/>
      <protection hidden="1"/>
    </xf>
    <xf numFmtId="0" fontId="8" fillId="0" borderId="9" xfId="0" applyFont="1" applyBorder="1" applyAlignment="1" applyProtection="1">
      <alignment horizontal="center" vertical="top" textRotation="255"/>
      <protection hidden="1"/>
    </xf>
    <xf numFmtId="0" fontId="8" fillId="0" borderId="17" xfId="0" applyFont="1" applyBorder="1" applyAlignment="1" applyProtection="1">
      <alignment horizontal="center" vertical="top" textRotation="255"/>
      <protection hidden="1"/>
    </xf>
    <xf numFmtId="0" fontId="16" fillId="0" borderId="0" xfId="0" applyFont="1" applyAlignment="1" applyProtection="1">
      <alignment horizontal="left" vertical="center"/>
      <protection hidden="1"/>
    </xf>
    <xf numFmtId="0" fontId="18" fillId="0" borderId="0" xfId="0" applyFont="1" applyProtection="1">
      <protection hidden="1"/>
    </xf>
    <xf numFmtId="0" fontId="14" fillId="0" borderId="0" xfId="0" applyFont="1" applyAlignment="1" applyProtection="1">
      <alignment vertical="center"/>
      <protection hidden="1"/>
    </xf>
    <xf numFmtId="0" fontId="14" fillId="0" borderId="0" xfId="0" applyFont="1" applyAlignment="1" applyProtection="1">
      <alignment horizontal="center" vertical="center"/>
      <protection hidden="1"/>
    </xf>
    <xf numFmtId="177" fontId="8" fillId="0" borderId="0" xfId="0" applyNumberFormat="1" applyFont="1" applyAlignment="1" applyProtection="1">
      <alignment horizontal="right" vertical="center"/>
      <protection hidden="1"/>
    </xf>
    <xf numFmtId="0" fontId="0" fillId="0" borderId="0" xfId="0" applyAlignment="1" applyProtection="1">
      <alignment horizontal="distributed" vertical="center"/>
      <protection hidden="1"/>
    </xf>
    <xf numFmtId="49" fontId="0" fillId="0" borderId="0" xfId="0" applyNumberFormat="1" applyAlignment="1" applyProtection="1">
      <alignment horizontal="left" vertical="center"/>
      <protection hidden="1"/>
    </xf>
    <xf numFmtId="0" fontId="0" fillId="0" borderId="0" xfId="0" applyAlignment="1" applyProtection="1">
      <alignment vertical="center"/>
      <protection hidden="1"/>
    </xf>
    <xf numFmtId="0" fontId="0" fillId="0" borderId="0" xfId="0" applyAlignment="1" applyProtection="1">
      <alignment horizontal="left" vertical="center" indent="1"/>
      <protection hidden="1"/>
    </xf>
    <xf numFmtId="0" fontId="0" fillId="0" borderId="0" xfId="0" applyAlignment="1" applyProtection="1">
      <alignment horizontal="right" vertical="center" indent="1"/>
      <protection hidden="1"/>
    </xf>
    <xf numFmtId="0" fontId="29" fillId="0" borderId="0" xfId="0"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vertical="center"/>
      <protection hidden="1"/>
    </xf>
    <xf numFmtId="0" fontId="0" fillId="0" borderId="0" xfId="0" applyAlignment="1" applyProtection="1">
      <alignment horizontal="center" vertical="center"/>
      <protection hidden="1"/>
    </xf>
    <xf numFmtId="0" fontId="8" fillId="2" borderId="0" xfId="0" applyFont="1" applyFill="1" applyAlignment="1" applyProtection="1">
      <alignment vertical="center"/>
      <protection hidden="1"/>
    </xf>
    <xf numFmtId="182" fontId="8" fillId="2" borderId="0" xfId="0" applyNumberFormat="1" applyFont="1" applyFill="1" applyAlignment="1" applyProtection="1">
      <alignment vertical="center"/>
      <protection hidden="1"/>
    </xf>
    <xf numFmtId="185" fontId="8" fillId="2" borderId="0" xfId="0" applyNumberFormat="1" applyFont="1" applyFill="1" applyAlignment="1" applyProtection="1">
      <alignment vertical="center"/>
      <protection hidden="1"/>
    </xf>
    <xf numFmtId="0" fontId="18" fillId="0" borderId="0" xfId="0" applyFont="1" applyAlignment="1" applyProtection="1">
      <alignment horizontal="center" vertical="center"/>
      <protection hidden="1"/>
    </xf>
    <xf numFmtId="183" fontId="8" fillId="9" borderId="5" xfId="0" applyNumberFormat="1" applyFont="1" applyFill="1" applyBorder="1" applyAlignment="1" applyProtection="1">
      <alignment horizontal="right" vertical="center" indent="1"/>
      <protection hidden="1"/>
    </xf>
    <xf numFmtId="38" fontId="8" fillId="9" borderId="5" xfId="2" applyFont="1" applyFill="1" applyBorder="1" applyAlignment="1" applyProtection="1">
      <alignment horizontal="right" vertical="center" indent="1"/>
      <protection hidden="1"/>
    </xf>
    <xf numFmtId="0" fontId="8" fillId="0" borderId="0" xfId="0" applyFont="1" applyAlignment="1" applyProtection="1">
      <alignment vertical="center"/>
      <protection locked="0" hidden="1"/>
    </xf>
    <xf numFmtId="0" fontId="14" fillId="0" borderId="0" xfId="0" applyFont="1" applyAlignment="1" applyProtection="1">
      <alignment vertical="center"/>
      <protection locked="0" hidden="1"/>
    </xf>
    <xf numFmtId="0" fontId="28" fillId="0" borderId="0" xfId="0" applyFont="1" applyAlignment="1" applyProtection="1">
      <alignment vertical="center"/>
      <protection hidden="1"/>
    </xf>
    <xf numFmtId="0" fontId="8" fillId="2" borderId="0" xfId="0" applyFont="1" applyFill="1" applyProtection="1">
      <protection hidden="1"/>
    </xf>
    <xf numFmtId="0" fontId="8" fillId="0" borderId="0" xfId="0" applyFont="1" applyAlignment="1" applyProtection="1">
      <alignment vertical="center" shrinkToFit="1"/>
      <protection hidden="1"/>
    </xf>
    <xf numFmtId="0" fontId="14" fillId="0" borderId="0" xfId="0" applyFont="1" applyAlignment="1" applyProtection="1">
      <alignment horizontal="right" vertical="center"/>
      <protection hidden="1"/>
    </xf>
    <xf numFmtId="0" fontId="33" fillId="0" borderId="0" xfId="0" applyFont="1" applyAlignment="1" applyProtection="1">
      <alignment horizontal="right" vertical="center"/>
      <protection hidden="1"/>
    </xf>
    <xf numFmtId="0" fontId="33" fillId="0" borderId="0" xfId="0" applyFont="1" applyProtection="1">
      <protection hidden="1"/>
    </xf>
    <xf numFmtId="38" fontId="8" fillId="9" borderId="6" xfId="2" applyFont="1" applyFill="1" applyBorder="1" applyAlignment="1" applyProtection="1">
      <alignment horizontal="right" vertical="center" indent="1"/>
      <protection hidden="1"/>
    </xf>
    <xf numFmtId="0" fontId="0" fillId="0" borderId="0" xfId="0" applyAlignment="1" applyProtection="1">
      <alignment vertical="center" shrinkToFit="1"/>
      <protection locked="0"/>
    </xf>
    <xf numFmtId="0" fontId="0" fillId="0" borderId="0" xfId="0" applyAlignment="1" applyProtection="1">
      <alignment vertical="center"/>
      <protection locked="0"/>
    </xf>
    <xf numFmtId="0" fontId="8" fillId="10" borderId="0" xfId="0" applyFont="1" applyFill="1" applyAlignment="1" applyProtection="1">
      <alignment horizontal="center" vertical="center"/>
      <protection hidden="1"/>
    </xf>
    <xf numFmtId="0" fontId="8" fillId="10" borderId="0" xfId="0" applyFont="1" applyFill="1" applyAlignment="1" applyProtection="1">
      <alignment vertical="center"/>
      <protection hidden="1"/>
    </xf>
    <xf numFmtId="0" fontId="8" fillId="10" borderId="0" xfId="0" applyFont="1" applyFill="1" applyAlignment="1" applyProtection="1">
      <alignment horizontal="left" vertical="center"/>
      <protection hidden="1"/>
    </xf>
    <xf numFmtId="38" fontId="8" fillId="0" borderId="0" xfId="2" applyFont="1" applyFill="1"/>
    <xf numFmtId="0" fontId="4" fillId="0" borderId="0" xfId="0" applyFont="1" applyProtection="1">
      <protection locked="0"/>
    </xf>
    <xf numFmtId="0" fontId="0" fillId="0" borderId="0" xfId="0" applyAlignment="1" applyProtection="1">
      <alignment horizontal="left" vertical="center"/>
      <protection hidden="1"/>
    </xf>
    <xf numFmtId="0" fontId="9" fillId="11" borderId="0" xfId="0" applyFont="1" applyFill="1" applyAlignment="1" applyProtection="1">
      <alignment vertical="center"/>
      <protection hidden="1"/>
    </xf>
    <xf numFmtId="0" fontId="8" fillId="0" borderId="29" xfId="0" applyFont="1" applyBorder="1" applyAlignment="1" applyProtection="1">
      <alignment vertical="center" shrinkToFit="1"/>
      <protection hidden="1"/>
    </xf>
    <xf numFmtId="0" fontId="8" fillId="0" borderId="30" xfId="0" applyFont="1" applyBorder="1" applyAlignment="1" applyProtection="1">
      <alignment vertical="center" shrinkToFit="1"/>
      <protection hidden="1"/>
    </xf>
    <xf numFmtId="0" fontId="32" fillId="7" borderId="18" xfId="0" applyFont="1" applyFill="1" applyBorder="1" applyAlignment="1" applyProtection="1">
      <alignment vertical="center" wrapText="1" shrinkToFit="1"/>
      <protection hidden="1"/>
    </xf>
    <xf numFmtId="38" fontId="8" fillId="8" borderId="18" xfId="2" applyFont="1" applyFill="1" applyBorder="1" applyAlignment="1" applyProtection="1">
      <alignment horizontal="right" vertical="center"/>
      <protection hidden="1"/>
    </xf>
    <xf numFmtId="38" fontId="8" fillId="0" borderId="31" xfId="2" applyFont="1" applyFill="1" applyBorder="1" applyAlignment="1" applyProtection="1">
      <alignment vertical="center" shrinkToFit="1"/>
      <protection hidden="1"/>
    </xf>
    <xf numFmtId="38" fontId="21" fillId="0" borderId="21" xfId="2" applyFont="1" applyFill="1" applyBorder="1" applyAlignment="1" applyProtection="1">
      <alignment vertical="center" shrinkToFit="1"/>
      <protection hidden="1"/>
    </xf>
    <xf numFmtId="38" fontId="21" fillId="0" borderId="32" xfId="2" applyFont="1" applyFill="1" applyBorder="1" applyAlignment="1" applyProtection="1">
      <alignment vertical="center" shrinkToFit="1"/>
      <protection hidden="1"/>
    </xf>
    <xf numFmtId="0" fontId="35" fillId="0" borderId="0" xfId="0" applyFont="1" applyAlignment="1" applyProtection="1">
      <alignment vertical="center" shrinkToFit="1"/>
      <protection hidden="1"/>
    </xf>
    <xf numFmtId="0" fontId="0" fillId="12" borderId="64" xfId="0" applyFill="1" applyBorder="1" applyAlignment="1" applyProtection="1">
      <alignment vertical="center"/>
      <protection hidden="1"/>
    </xf>
    <xf numFmtId="0" fontId="0" fillId="12" borderId="65" xfId="0" applyFill="1" applyBorder="1" applyAlignment="1" applyProtection="1">
      <alignment vertical="center"/>
      <protection hidden="1"/>
    </xf>
    <xf numFmtId="0" fontId="0" fillId="13" borderId="64" xfId="0" applyFill="1" applyBorder="1" applyAlignment="1" applyProtection="1">
      <alignment vertical="center"/>
      <protection hidden="1"/>
    </xf>
    <xf numFmtId="0" fontId="0" fillId="13" borderId="65" xfId="0" applyFill="1" applyBorder="1" applyAlignment="1" applyProtection="1">
      <alignment vertical="center"/>
      <protection hidden="1"/>
    </xf>
    <xf numFmtId="0" fontId="0" fillId="14" borderId="64" xfId="0" applyFill="1" applyBorder="1" applyAlignment="1" applyProtection="1">
      <alignment vertical="center"/>
      <protection hidden="1"/>
    </xf>
    <xf numFmtId="0" fontId="0" fillId="14" borderId="65" xfId="0" applyFill="1" applyBorder="1" applyAlignment="1" applyProtection="1">
      <alignment vertical="center"/>
      <protection hidden="1"/>
    </xf>
    <xf numFmtId="0" fontId="8" fillId="15" borderId="0" xfId="0" applyFont="1" applyFill="1" applyAlignment="1" applyProtection="1">
      <alignment horizontal="center" vertical="center"/>
      <protection hidden="1"/>
    </xf>
    <xf numFmtId="0" fontId="0" fillId="16" borderId="64" xfId="0" applyFill="1" applyBorder="1" applyAlignment="1" applyProtection="1">
      <alignment vertical="center"/>
      <protection hidden="1"/>
    </xf>
    <xf numFmtId="0" fontId="0" fillId="16" borderId="65" xfId="0" applyFill="1" applyBorder="1" applyAlignment="1" applyProtection="1">
      <alignment vertical="center"/>
      <protection hidden="1"/>
    </xf>
    <xf numFmtId="0" fontId="0" fillId="12" borderId="66" xfId="0" applyFill="1" applyBorder="1" applyAlignment="1" applyProtection="1">
      <alignment vertical="center"/>
      <protection hidden="1"/>
    </xf>
    <xf numFmtId="0" fontId="0" fillId="13" borderId="66" xfId="0" applyFill="1" applyBorder="1" applyAlignment="1" applyProtection="1">
      <alignment vertical="center"/>
      <protection hidden="1"/>
    </xf>
    <xf numFmtId="0" fontId="0" fillId="14" borderId="66" xfId="0" applyFill="1" applyBorder="1" applyAlignment="1" applyProtection="1">
      <alignment vertical="center"/>
      <protection hidden="1"/>
    </xf>
    <xf numFmtId="0" fontId="0" fillId="16" borderId="66" xfId="0" applyFill="1" applyBorder="1" applyAlignment="1" applyProtection="1">
      <alignment vertical="center"/>
      <protection hidden="1"/>
    </xf>
    <xf numFmtId="0" fontId="0" fillId="0" borderId="66" xfId="0" applyBorder="1" applyAlignment="1" applyProtection="1">
      <alignment vertical="center"/>
      <protection hidden="1"/>
    </xf>
    <xf numFmtId="0" fontId="18" fillId="0" borderId="14" xfId="0" applyFont="1" applyBorder="1" applyAlignment="1" applyProtection="1">
      <alignment horizontal="center" vertical="center" shrinkToFit="1"/>
      <protection hidden="1"/>
    </xf>
    <xf numFmtId="0" fontId="18" fillId="0" borderId="4" xfId="0" applyFont="1" applyBorder="1" applyAlignment="1" applyProtection="1">
      <alignment horizontal="center" vertical="center" shrinkToFit="1"/>
      <protection hidden="1"/>
    </xf>
    <xf numFmtId="38" fontId="8" fillId="0" borderId="9" xfId="2" applyFont="1" applyFill="1" applyBorder="1" applyAlignment="1" applyProtection="1">
      <alignment vertical="center" shrinkToFit="1"/>
      <protection locked="0"/>
    </xf>
    <xf numFmtId="38" fontId="8" fillId="0" borderId="33" xfId="2" applyFont="1" applyFill="1" applyBorder="1" applyAlignment="1" applyProtection="1">
      <alignment vertical="center" shrinkToFit="1"/>
      <protection hidden="1"/>
    </xf>
    <xf numFmtId="38" fontId="8" fillId="6" borderId="9" xfId="2" applyFont="1" applyFill="1" applyBorder="1" applyAlignment="1" applyProtection="1">
      <alignment vertical="center" shrinkToFit="1"/>
      <protection locked="0"/>
    </xf>
    <xf numFmtId="0" fontId="18" fillId="0" borderId="34" xfId="0" applyFont="1" applyBorder="1" applyAlignment="1" applyProtection="1">
      <alignment horizontal="center" vertical="center" shrinkToFit="1"/>
      <protection hidden="1"/>
    </xf>
    <xf numFmtId="0" fontId="18" fillId="0" borderId="35" xfId="0" applyFont="1" applyBorder="1" applyAlignment="1" applyProtection="1">
      <alignment horizontal="center" vertical="center" shrinkToFit="1"/>
      <protection hidden="1"/>
    </xf>
    <xf numFmtId="38" fontId="8" fillId="0" borderId="36" xfId="2" applyFont="1" applyFill="1" applyBorder="1" applyAlignment="1" applyProtection="1">
      <alignment vertical="center" shrinkToFit="1"/>
      <protection hidden="1"/>
    </xf>
    <xf numFmtId="38" fontId="8" fillId="6" borderId="37" xfId="2" applyFont="1" applyFill="1" applyBorder="1" applyAlignment="1" applyProtection="1">
      <alignment vertical="center" shrinkToFit="1"/>
      <protection locked="0"/>
    </xf>
    <xf numFmtId="0" fontId="0" fillId="0" borderId="67" xfId="0" applyBorder="1" applyAlignment="1" applyProtection="1">
      <alignment horizontal="center" vertical="center" shrinkToFit="1"/>
      <protection locked="0"/>
    </xf>
    <xf numFmtId="0" fontId="0" fillId="17" borderId="68" xfId="0" applyFill="1" applyBorder="1" applyAlignment="1" applyProtection="1">
      <alignment vertical="center"/>
      <protection hidden="1"/>
    </xf>
    <xf numFmtId="0" fontId="0" fillId="17" borderId="69" xfId="0" applyFill="1" applyBorder="1" applyAlignment="1" applyProtection="1">
      <alignment vertical="center"/>
      <protection hidden="1"/>
    </xf>
    <xf numFmtId="38" fontId="8" fillId="5" borderId="9" xfId="2" applyFont="1" applyFill="1" applyBorder="1" applyAlignment="1" applyProtection="1">
      <alignment horizontal="right" vertical="center"/>
      <protection hidden="1"/>
    </xf>
    <xf numFmtId="38" fontId="8" fillId="5" borderId="9" xfId="2" applyFont="1" applyFill="1" applyBorder="1" applyAlignment="1" applyProtection="1">
      <alignment horizontal="right" vertical="center" shrinkToFit="1"/>
      <protection hidden="1"/>
    </xf>
    <xf numFmtId="38" fontId="8" fillId="5" borderId="38" xfId="2" applyFont="1" applyFill="1" applyBorder="1" applyAlignment="1" applyProtection="1">
      <alignment horizontal="right" vertical="center"/>
      <protection hidden="1"/>
    </xf>
    <xf numFmtId="38" fontId="8" fillId="5" borderId="39" xfId="2" applyFont="1" applyFill="1" applyBorder="1" applyAlignment="1" applyProtection="1">
      <alignment horizontal="right" vertical="center"/>
      <protection hidden="1"/>
    </xf>
    <xf numFmtId="38" fontId="8" fillId="5" borderId="40" xfId="2" applyFont="1" applyFill="1" applyBorder="1" applyAlignment="1" applyProtection="1">
      <alignment horizontal="right" vertical="center"/>
      <protection hidden="1"/>
    </xf>
    <xf numFmtId="38" fontId="8" fillId="5" borderId="33" xfId="2" applyFont="1" applyFill="1" applyBorder="1" applyAlignment="1" applyProtection="1">
      <alignment horizontal="right" vertical="center"/>
      <protection hidden="1"/>
    </xf>
    <xf numFmtId="177" fontId="8" fillId="5" borderId="6" xfId="0" applyNumberFormat="1" applyFont="1" applyFill="1" applyBorder="1" applyAlignment="1" applyProtection="1">
      <alignment horizontal="right" vertical="center"/>
      <protection hidden="1"/>
    </xf>
    <xf numFmtId="1" fontId="8" fillId="5" borderId="41" xfId="0" applyNumberFormat="1" applyFont="1" applyFill="1" applyBorder="1" applyAlignment="1" applyProtection="1">
      <alignment horizontal="right" vertical="center"/>
      <protection hidden="1"/>
    </xf>
    <xf numFmtId="38" fontId="8" fillId="9" borderId="17" xfId="2" applyFont="1" applyFill="1" applyBorder="1" applyAlignment="1" applyProtection="1">
      <alignment horizontal="right" vertical="center" indent="1"/>
      <protection hidden="1"/>
    </xf>
    <xf numFmtId="38" fontId="8" fillId="5" borderId="6" xfId="2" applyFont="1" applyFill="1" applyBorder="1" applyAlignment="1" applyProtection="1">
      <alignment horizontal="right" vertical="center"/>
      <protection hidden="1"/>
    </xf>
    <xf numFmtId="38" fontId="8" fillId="5" borderId="41" xfId="2" applyFont="1" applyFill="1" applyBorder="1" applyAlignment="1" applyProtection="1">
      <alignment horizontal="right" vertical="center"/>
      <protection hidden="1"/>
    </xf>
    <xf numFmtId="0" fontId="8" fillId="5" borderId="42" xfId="0" applyFont="1" applyFill="1" applyBorder="1" applyAlignment="1" applyProtection="1">
      <alignment vertical="center"/>
      <protection hidden="1"/>
    </xf>
    <xf numFmtId="38" fontId="8" fillId="5" borderId="43" xfId="0" applyNumberFormat="1" applyFont="1" applyFill="1" applyBorder="1" applyAlignment="1" applyProtection="1">
      <alignment vertical="center"/>
      <protection hidden="1"/>
    </xf>
    <xf numFmtId="0" fontId="0" fillId="17" borderId="70" xfId="0" applyFill="1" applyBorder="1" applyAlignment="1" applyProtection="1">
      <alignment horizontal="center" vertical="center" shrinkToFit="1"/>
      <protection hidden="1"/>
    </xf>
    <xf numFmtId="0" fontId="18" fillId="0" borderId="18" xfId="0" applyFont="1" applyBorder="1" applyAlignment="1" applyProtection="1">
      <alignment horizontal="center" vertical="center" shrinkToFit="1"/>
      <protection hidden="1"/>
    </xf>
    <xf numFmtId="0" fontId="18" fillId="0" borderId="15" xfId="0" applyFont="1" applyBorder="1" applyAlignment="1" applyProtection="1">
      <alignment horizontal="center" vertical="center" shrinkToFit="1"/>
      <protection hidden="1"/>
    </xf>
    <xf numFmtId="38" fontId="8" fillId="0" borderId="11" xfId="2" applyFont="1" applyFill="1" applyBorder="1" applyAlignment="1" applyProtection="1">
      <alignment vertical="center" shrinkToFit="1"/>
      <protection locked="0"/>
    </xf>
    <xf numFmtId="38" fontId="8" fillId="0" borderId="44" xfId="2" applyFont="1" applyFill="1" applyBorder="1" applyAlignment="1" applyProtection="1">
      <alignment vertical="center" shrinkToFit="1"/>
      <protection hidden="1"/>
    </xf>
    <xf numFmtId="38" fontId="8" fillId="6" borderId="11" xfId="2" applyFont="1" applyFill="1" applyBorder="1" applyAlignment="1" applyProtection="1">
      <alignment vertical="center" shrinkToFit="1"/>
      <protection locked="0"/>
    </xf>
    <xf numFmtId="38" fontId="8" fillId="0" borderId="17" xfId="2" applyFont="1" applyFill="1" applyBorder="1" applyAlignment="1" applyProtection="1">
      <alignment vertical="center" shrinkToFit="1"/>
      <protection locked="0"/>
    </xf>
    <xf numFmtId="38" fontId="8" fillId="0" borderId="45" xfId="2" applyFont="1" applyFill="1" applyBorder="1" applyAlignment="1" applyProtection="1">
      <alignment vertical="center" shrinkToFit="1"/>
      <protection locked="0"/>
    </xf>
    <xf numFmtId="40" fontId="8" fillId="0" borderId="0" xfId="2" applyNumberFormat="1" applyFont="1"/>
    <xf numFmtId="179" fontId="8" fillId="0" borderId="0" xfId="2" applyNumberFormat="1" applyFont="1"/>
    <xf numFmtId="0" fontId="8" fillId="13" borderId="3" xfId="0" applyFont="1" applyFill="1" applyBorder="1" applyAlignment="1" applyProtection="1">
      <alignment vertical="center"/>
      <protection hidden="1"/>
    </xf>
    <xf numFmtId="0" fontId="8" fillId="13" borderId="12" xfId="0" applyFont="1" applyFill="1" applyBorder="1" applyAlignment="1" applyProtection="1">
      <alignment vertical="center"/>
      <protection hidden="1"/>
    </xf>
    <xf numFmtId="0" fontId="8" fillId="0" borderId="0" xfId="2" applyNumberFormat="1" applyFont="1"/>
    <xf numFmtId="38" fontId="38" fillId="12" borderId="9" xfId="2" applyFont="1" applyFill="1" applyBorder="1" applyAlignment="1" applyProtection="1">
      <alignment horizontal="right" vertical="center" shrinkToFit="1"/>
      <protection locked="0"/>
    </xf>
    <xf numFmtId="38" fontId="38" fillId="12" borderId="14" xfId="2" applyFont="1" applyFill="1" applyBorder="1" applyAlignment="1" applyProtection="1">
      <alignment horizontal="right" vertical="center" shrinkToFit="1"/>
      <protection locked="0"/>
    </xf>
    <xf numFmtId="0" fontId="38" fillId="0" borderId="0" xfId="0" applyFont="1" applyAlignment="1" applyProtection="1">
      <alignment horizontal="center" vertical="center"/>
      <protection hidden="1"/>
    </xf>
    <xf numFmtId="0" fontId="38" fillId="0" borderId="0" xfId="0" applyFont="1" applyAlignment="1" applyProtection="1">
      <alignment horizontal="distributed" vertical="center"/>
      <protection hidden="1"/>
    </xf>
    <xf numFmtId="38" fontId="38" fillId="0" borderId="0" xfId="2" applyFont="1" applyFill="1" applyBorder="1" applyAlignment="1" applyProtection="1">
      <alignment horizontal="right" vertical="top"/>
      <protection hidden="1"/>
    </xf>
    <xf numFmtId="0" fontId="38" fillId="0" borderId="0" xfId="0" applyFont="1" applyAlignment="1" applyProtection="1">
      <alignment vertical="center"/>
      <protection hidden="1"/>
    </xf>
    <xf numFmtId="38" fontId="19" fillId="0" borderId="4" xfId="2" applyFont="1" applyFill="1" applyBorder="1" applyAlignment="1" applyProtection="1">
      <alignment horizontal="center" vertical="center" wrapText="1" shrinkToFit="1"/>
      <protection hidden="1"/>
    </xf>
    <xf numFmtId="0" fontId="19" fillId="0" borderId="37" xfId="0" applyFont="1" applyBorder="1" applyAlignment="1" applyProtection="1">
      <alignment horizontal="center" vertical="center" wrapText="1" shrinkToFit="1"/>
      <protection hidden="1"/>
    </xf>
    <xf numFmtId="0" fontId="39" fillId="0" borderId="0" xfId="0" applyFont="1" applyAlignment="1" applyProtection="1">
      <alignment horizontal="center" vertical="center"/>
      <protection hidden="1"/>
    </xf>
    <xf numFmtId="0" fontId="19" fillId="0" borderId="5" xfId="0" applyFont="1" applyBorder="1" applyAlignment="1" applyProtection="1">
      <alignment horizontal="left" vertical="center" shrinkToFit="1"/>
      <protection hidden="1"/>
    </xf>
    <xf numFmtId="0" fontId="19" fillId="0" borderId="5" xfId="0" applyFont="1" applyBorder="1" applyAlignment="1" applyProtection="1">
      <alignment horizontal="distributed" vertical="center" shrinkToFit="1"/>
      <protection hidden="1"/>
    </xf>
    <xf numFmtId="38" fontId="38" fillId="13" borderId="37" xfId="2" applyFont="1" applyFill="1" applyBorder="1" applyAlignment="1" applyProtection="1">
      <alignment horizontal="right" vertical="center" shrinkToFit="1"/>
      <protection hidden="1"/>
    </xf>
    <xf numFmtId="0" fontId="19" fillId="0" borderId="6" xfId="0" applyFont="1" applyBorder="1" applyAlignment="1" applyProtection="1">
      <alignment horizontal="left" vertical="center" shrinkToFit="1"/>
      <protection hidden="1"/>
    </xf>
    <xf numFmtId="0" fontId="19" fillId="0" borderId="6" xfId="0" applyFont="1" applyBorder="1" applyAlignment="1" applyProtection="1">
      <alignment horizontal="distributed" vertical="center" shrinkToFit="1"/>
      <protection hidden="1"/>
    </xf>
    <xf numFmtId="0" fontId="41" fillId="0" borderId="46" xfId="0" applyFont="1" applyBorder="1" applyAlignment="1" applyProtection="1">
      <alignment horizontal="right" vertical="center" shrinkToFit="1"/>
      <protection hidden="1"/>
    </xf>
    <xf numFmtId="38" fontId="40" fillId="13" borderId="47" xfId="2" applyFont="1" applyFill="1" applyBorder="1" applyAlignment="1" applyProtection="1">
      <alignment horizontal="right" vertical="center" shrinkToFit="1"/>
      <protection hidden="1"/>
    </xf>
    <xf numFmtId="38" fontId="40" fillId="0" borderId="11" xfId="2" applyFont="1" applyFill="1" applyBorder="1" applyAlignment="1" applyProtection="1">
      <alignment horizontal="right" vertical="center" shrinkToFit="1"/>
      <protection hidden="1"/>
    </xf>
    <xf numFmtId="192" fontId="40" fillId="13" borderId="37" xfId="2" applyNumberFormat="1" applyFont="1" applyFill="1" applyBorder="1" applyAlignment="1" applyProtection="1">
      <alignment horizontal="right" vertical="center" shrinkToFit="1"/>
      <protection hidden="1"/>
    </xf>
    <xf numFmtId="38" fontId="40" fillId="0" borderId="9" xfId="2" applyFont="1" applyFill="1" applyBorder="1" applyAlignment="1" applyProtection="1">
      <alignment horizontal="right" vertical="center" shrinkToFit="1"/>
      <protection hidden="1"/>
    </xf>
    <xf numFmtId="0" fontId="38" fillId="0" borderId="0" xfId="0" applyFont="1" applyAlignment="1" applyProtection="1">
      <alignment horizontal="left" vertical="center"/>
      <protection hidden="1"/>
    </xf>
    <xf numFmtId="38" fontId="8" fillId="0" borderId="0" xfId="2" applyFont="1" applyBorder="1" applyAlignment="1" applyProtection="1">
      <alignment horizontal="left" vertical="center"/>
      <protection hidden="1"/>
    </xf>
    <xf numFmtId="38" fontId="38" fillId="0" borderId="0" xfId="2" applyFont="1" applyBorder="1" applyAlignment="1" applyProtection="1">
      <alignment horizontal="center" vertical="center"/>
      <protection hidden="1"/>
    </xf>
    <xf numFmtId="40" fontId="38" fillId="0" borderId="0" xfId="2" applyNumberFormat="1" applyFont="1" applyBorder="1" applyAlignment="1" applyProtection="1">
      <alignment horizontal="center" vertical="center"/>
      <protection hidden="1"/>
    </xf>
    <xf numFmtId="0" fontId="0" fillId="0" borderId="0" xfId="0" applyProtection="1">
      <protection hidden="1"/>
    </xf>
    <xf numFmtId="0" fontId="38" fillId="13" borderId="12" xfId="0" applyFont="1" applyFill="1" applyBorder="1" applyAlignment="1" applyProtection="1">
      <alignment vertical="center"/>
      <protection hidden="1"/>
    </xf>
    <xf numFmtId="0" fontId="38" fillId="13" borderId="16" xfId="0" applyFont="1" applyFill="1" applyBorder="1" applyAlignment="1" applyProtection="1">
      <alignment vertical="center"/>
      <protection hidden="1"/>
    </xf>
    <xf numFmtId="0" fontId="8" fillId="13" borderId="7" xfId="0" applyFont="1" applyFill="1" applyBorder="1" applyAlignment="1" applyProtection="1">
      <alignment vertical="center"/>
      <protection hidden="1"/>
    </xf>
    <xf numFmtId="0" fontId="8" fillId="5" borderId="7" xfId="0" applyFont="1" applyFill="1" applyBorder="1" applyAlignment="1" applyProtection="1">
      <alignment vertical="center"/>
      <protection hidden="1"/>
    </xf>
    <xf numFmtId="1" fontId="24" fillId="5" borderId="12" xfId="0" applyNumberFormat="1" applyFont="1" applyFill="1" applyBorder="1" applyAlignment="1" applyProtection="1">
      <alignment horizontal="right" vertical="center" indent="1"/>
      <protection hidden="1"/>
    </xf>
    <xf numFmtId="38" fontId="24" fillId="13" borderId="12" xfId="0" applyNumberFormat="1" applyFont="1" applyFill="1" applyBorder="1" applyAlignment="1" applyProtection="1">
      <alignment horizontal="right" vertical="center" indent="1"/>
      <protection hidden="1"/>
    </xf>
    <xf numFmtId="1" fontId="24" fillId="5" borderId="13" xfId="0" applyNumberFormat="1" applyFont="1" applyFill="1" applyBorder="1" applyAlignment="1" applyProtection="1">
      <alignment horizontal="right" vertical="center" indent="1"/>
      <protection hidden="1"/>
    </xf>
    <xf numFmtId="179" fontId="8" fillId="5" borderId="17" xfId="2" applyNumberFormat="1" applyFont="1" applyFill="1" applyBorder="1" applyAlignment="1" applyProtection="1">
      <alignment horizontal="right" vertical="center"/>
      <protection hidden="1"/>
    </xf>
    <xf numFmtId="179" fontId="8" fillId="5" borderId="5" xfId="2" applyNumberFormat="1" applyFont="1" applyFill="1" applyBorder="1" applyAlignment="1" applyProtection="1">
      <alignment horizontal="right" vertical="center"/>
      <protection hidden="1"/>
    </xf>
    <xf numFmtId="38" fontId="24" fillId="5" borderId="13" xfId="0" applyNumberFormat="1" applyFont="1" applyFill="1" applyBorder="1" applyAlignment="1" applyProtection="1">
      <alignment horizontal="right" vertical="center" indent="1"/>
      <protection hidden="1"/>
    </xf>
    <xf numFmtId="38" fontId="24" fillId="5" borderId="12" xfId="2" applyFont="1" applyFill="1" applyBorder="1" applyAlignment="1" applyProtection="1">
      <alignment horizontal="right" vertical="center" indent="1"/>
      <protection hidden="1"/>
    </xf>
    <xf numFmtId="38" fontId="24" fillId="5" borderId="5" xfId="2" applyFont="1" applyFill="1" applyBorder="1" applyAlignment="1" applyProtection="1">
      <alignment horizontal="right" vertical="center" indent="1"/>
      <protection hidden="1"/>
    </xf>
    <xf numFmtId="1" fontId="24" fillId="5" borderId="17" xfId="0" applyNumberFormat="1" applyFont="1" applyFill="1" applyBorder="1" applyAlignment="1" applyProtection="1">
      <alignment horizontal="right" vertical="center" indent="1"/>
      <protection hidden="1"/>
    </xf>
    <xf numFmtId="38" fontId="24" fillId="5" borderId="13" xfId="2" applyFont="1" applyFill="1" applyBorder="1" applyAlignment="1" applyProtection="1">
      <alignment horizontal="right" vertical="center" indent="1"/>
      <protection hidden="1"/>
    </xf>
    <xf numFmtId="0" fontId="8" fillId="5" borderId="6" xfId="0" applyFont="1" applyFill="1" applyBorder="1" applyAlignment="1" applyProtection="1">
      <alignment horizontal="right" vertical="center"/>
      <protection hidden="1"/>
    </xf>
    <xf numFmtId="176" fontId="8" fillId="5" borderId="6" xfId="0" applyNumberFormat="1" applyFont="1" applyFill="1" applyBorder="1" applyAlignment="1" applyProtection="1">
      <alignment horizontal="right" vertical="center"/>
      <protection hidden="1"/>
    </xf>
    <xf numFmtId="0" fontId="8" fillId="0" borderId="3" xfId="0" applyFont="1" applyBorder="1" applyAlignment="1" applyProtection="1">
      <alignment vertical="center"/>
      <protection hidden="1"/>
    </xf>
    <xf numFmtId="176" fontId="8" fillId="5" borderId="8" xfId="0" applyNumberFormat="1" applyFont="1" applyFill="1" applyBorder="1" applyAlignment="1" applyProtection="1">
      <alignment horizontal="right" vertical="center"/>
      <protection hidden="1"/>
    </xf>
    <xf numFmtId="0" fontId="8" fillId="0" borderId="72" xfId="0" applyFont="1" applyBorder="1" applyAlignment="1" applyProtection="1">
      <alignment vertical="center"/>
      <protection hidden="1"/>
    </xf>
    <xf numFmtId="176" fontId="8" fillId="5" borderId="71" xfId="0" applyNumberFormat="1" applyFont="1" applyFill="1" applyBorder="1" applyAlignment="1" applyProtection="1">
      <alignment horizontal="right" vertical="center"/>
      <protection hidden="1"/>
    </xf>
    <xf numFmtId="0" fontId="8" fillId="0" borderId="4" xfId="0" applyFont="1" applyBorder="1" applyAlignment="1" applyProtection="1">
      <alignment vertical="center"/>
      <protection hidden="1"/>
    </xf>
    <xf numFmtId="0" fontId="8" fillId="0" borderId="76" xfId="0" applyFont="1" applyBorder="1" applyAlignment="1" applyProtection="1">
      <alignment vertical="center"/>
      <protection hidden="1"/>
    </xf>
    <xf numFmtId="176" fontId="8" fillId="5" borderId="75" xfId="0" applyNumberFormat="1" applyFont="1" applyFill="1" applyBorder="1" applyAlignment="1" applyProtection="1">
      <alignment horizontal="right" vertical="center"/>
      <protection hidden="1"/>
    </xf>
    <xf numFmtId="0" fontId="8" fillId="0" borderId="14" xfId="0" applyFont="1" applyBorder="1" applyAlignment="1" applyProtection="1">
      <alignment horizontal="distributed" vertical="center"/>
      <protection hidden="1"/>
    </xf>
    <xf numFmtId="0" fontId="38" fillId="13" borderId="14" xfId="0" applyFont="1" applyFill="1" applyBorder="1" applyAlignment="1" applyProtection="1">
      <alignment vertical="center"/>
      <protection hidden="1"/>
    </xf>
    <xf numFmtId="0" fontId="8" fillId="0" borderId="72" xfId="0" applyFont="1" applyBorder="1" applyAlignment="1" applyProtection="1">
      <alignment horizontal="distributed" vertical="center"/>
      <protection hidden="1"/>
    </xf>
    <xf numFmtId="0" fontId="38" fillId="13" borderId="72" xfId="0" applyFont="1" applyFill="1" applyBorder="1" applyAlignment="1" applyProtection="1">
      <alignment vertical="center"/>
      <protection hidden="1"/>
    </xf>
    <xf numFmtId="179" fontId="8" fillId="13" borderId="71" xfId="0" applyNumberFormat="1" applyFont="1" applyFill="1" applyBorder="1" applyAlignment="1" applyProtection="1">
      <alignment vertical="center"/>
      <protection hidden="1"/>
    </xf>
    <xf numFmtId="0" fontId="29" fillId="0" borderId="0" xfId="0" applyFont="1" applyProtection="1">
      <protection hidden="1"/>
    </xf>
    <xf numFmtId="6" fontId="18" fillId="0" borderId="0" xfId="3" applyFont="1" applyFill="1" applyBorder="1" applyAlignment="1" applyProtection="1">
      <alignment vertical="center"/>
      <protection hidden="1"/>
    </xf>
    <xf numFmtId="38" fontId="8" fillId="0" borderId="0" xfId="2" applyFont="1" applyFill="1" applyBorder="1" applyAlignment="1" applyProtection="1">
      <alignment horizontal="right" vertical="center" indent="1"/>
      <protection hidden="1"/>
    </xf>
    <xf numFmtId="0" fontId="21" fillId="0" borderId="0" xfId="0" applyFont="1" applyAlignment="1" applyProtection="1">
      <alignment horizontal="center" vertical="center"/>
      <protection hidden="1"/>
    </xf>
    <xf numFmtId="38" fontId="8" fillId="0" borderId="0" xfId="2" applyFont="1" applyAlignment="1">
      <alignment horizontal="left"/>
    </xf>
    <xf numFmtId="0" fontId="8" fillId="0" borderId="0" xfId="0" applyFont="1" applyAlignment="1" applyProtection="1">
      <alignment horizontal="center" vertical="center"/>
      <protection hidden="1"/>
    </xf>
    <xf numFmtId="0" fontId="3" fillId="0" borderId="0" xfId="1" applyFill="1" applyAlignment="1" applyProtection="1">
      <alignment vertical="center"/>
      <protection locked="0"/>
    </xf>
    <xf numFmtId="0" fontId="0" fillId="0" borderId="0" xfId="0" applyAlignment="1" applyProtection="1">
      <alignment horizontal="left" vertical="center" indent="1"/>
      <protection hidden="1"/>
    </xf>
    <xf numFmtId="0" fontId="0" fillId="0" borderId="0" xfId="0" applyAlignment="1" applyProtection="1">
      <alignment horizontal="left" vertical="center"/>
      <protection hidden="1"/>
    </xf>
    <xf numFmtId="49" fontId="0" fillId="0" borderId="0" xfId="0" applyNumberFormat="1" applyAlignment="1" applyProtection="1">
      <alignment horizontal="left" vertical="center"/>
      <protection hidden="1"/>
    </xf>
    <xf numFmtId="0" fontId="0" fillId="0" borderId="0" xfId="0" applyAlignment="1" applyProtection="1">
      <alignment vertical="center"/>
      <protection hidden="1"/>
    </xf>
    <xf numFmtId="0" fontId="0" fillId="0" borderId="0" xfId="0" applyAlignment="1" applyProtection="1">
      <alignment horizontal="right" vertical="center"/>
      <protection hidden="1"/>
    </xf>
    <xf numFmtId="0" fontId="3" fillId="0" borderId="0" xfId="1" applyAlignment="1" applyProtection="1">
      <protection locked="0"/>
    </xf>
    <xf numFmtId="0" fontId="35" fillId="0" borderId="0" xfId="0" applyFont="1" applyAlignment="1" applyProtection="1">
      <alignment horizontal="distributed" vertical="center" indent="3" shrinkToFit="1"/>
      <protection hidden="1"/>
    </xf>
    <xf numFmtId="0" fontId="18" fillId="0" borderId="5" xfId="0" applyFont="1" applyBorder="1" applyAlignment="1" applyProtection="1">
      <alignment horizontal="distributed" wrapText="1"/>
      <protection hidden="1"/>
    </xf>
    <xf numFmtId="0" fontId="18" fillId="0" borderId="5" xfId="0" applyFont="1" applyBorder="1" applyProtection="1">
      <protection hidden="1"/>
    </xf>
    <xf numFmtId="0" fontId="18" fillId="0" borderId="5" xfId="0" applyFont="1" applyBorder="1" applyAlignment="1" applyProtection="1">
      <alignment horizontal="distributed" vertical="center"/>
      <protection hidden="1"/>
    </xf>
    <xf numFmtId="0" fontId="18" fillId="0" borderId="5" xfId="0" applyFont="1" applyBorder="1" applyAlignment="1" applyProtection="1">
      <alignment horizontal="distributed"/>
      <protection hidden="1"/>
    </xf>
    <xf numFmtId="0" fontId="18" fillId="0" borderId="9" xfId="0" applyFont="1" applyBorder="1" applyAlignment="1" applyProtection="1">
      <alignment horizontal="distributed" vertical="center"/>
      <protection hidden="1"/>
    </xf>
    <xf numFmtId="0" fontId="18" fillId="0" borderId="11" xfId="0" applyFont="1" applyBorder="1" applyAlignment="1" applyProtection="1">
      <alignment horizontal="distributed"/>
      <protection hidden="1"/>
    </xf>
    <xf numFmtId="0" fontId="18" fillId="0" borderId="17" xfId="0" applyFont="1" applyBorder="1" applyAlignment="1" applyProtection="1">
      <alignment horizontal="distributed"/>
      <protection hidden="1"/>
    </xf>
    <xf numFmtId="0" fontId="37" fillId="0" borderId="0" xfId="0" applyFont="1" applyAlignment="1" applyProtection="1">
      <alignment horizontal="center" vertical="center" shrinkToFit="1"/>
      <protection hidden="1"/>
    </xf>
    <xf numFmtId="0" fontId="18" fillId="0" borderId="14" xfId="0" applyFont="1" applyBorder="1" applyAlignment="1" applyProtection="1">
      <alignment horizontal="distributed" vertical="center"/>
      <protection hidden="1"/>
    </xf>
    <xf numFmtId="0" fontId="18" fillId="0" borderId="18" xfId="0" applyFont="1" applyBorder="1" applyAlignment="1" applyProtection="1">
      <alignment horizontal="distributed"/>
      <protection hidden="1"/>
    </xf>
    <xf numFmtId="0" fontId="18" fillId="0" borderId="16" xfId="0" applyFont="1" applyBorder="1" applyAlignment="1" applyProtection="1">
      <alignment horizontal="distributed"/>
      <protection hidden="1"/>
    </xf>
    <xf numFmtId="0" fontId="18" fillId="0" borderId="4" xfId="0" applyFont="1" applyBorder="1" applyProtection="1">
      <protection hidden="1"/>
    </xf>
    <xf numFmtId="0" fontId="18" fillId="0" borderId="15" xfId="0" applyFont="1" applyBorder="1" applyProtection="1">
      <protection hidden="1"/>
    </xf>
    <xf numFmtId="0" fontId="18" fillId="0" borderId="13" xfId="0" applyFont="1" applyBorder="1" applyProtection="1">
      <protection hidden="1"/>
    </xf>
    <xf numFmtId="0" fontId="36" fillId="0" borderId="0" xfId="0" applyFont="1" applyAlignment="1" applyProtection="1">
      <alignment horizontal="center" vertical="center"/>
      <protection hidden="1"/>
    </xf>
    <xf numFmtId="0" fontId="34" fillId="0" borderId="0" xfId="0" applyFont="1" applyAlignment="1" applyProtection="1">
      <alignment horizontal="center" vertical="top" shrinkToFit="1"/>
      <protection hidden="1"/>
    </xf>
    <xf numFmtId="0" fontId="19" fillId="0" borderId="0" xfId="0" applyFont="1" applyAlignment="1" applyProtection="1">
      <alignment vertical="center" wrapText="1"/>
      <protection hidden="1"/>
    </xf>
    <xf numFmtId="0" fontId="8" fillId="0" borderId="9" xfId="0"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38" fontId="8" fillId="6" borderId="5" xfId="2" applyFont="1" applyFill="1" applyBorder="1" applyAlignment="1" applyProtection="1">
      <alignment horizontal="right" vertical="center"/>
      <protection locked="0"/>
    </xf>
    <xf numFmtId="0" fontId="8" fillId="0" borderId="0" xfId="0" applyFont="1" applyAlignment="1" applyProtection="1">
      <alignment vertical="center" wrapText="1"/>
      <protection hidden="1"/>
    </xf>
    <xf numFmtId="0" fontId="8" fillId="6" borderId="9" xfId="0" applyFont="1" applyFill="1" applyBorder="1" applyAlignment="1" applyProtection="1">
      <alignment horizontal="center" vertical="center"/>
      <protection locked="0"/>
    </xf>
    <xf numFmtId="0" fontId="8" fillId="6" borderId="17" xfId="0" applyFont="1" applyFill="1" applyBorder="1" applyAlignment="1" applyProtection="1">
      <alignment horizontal="center" vertical="center"/>
      <protection locked="0"/>
    </xf>
    <xf numFmtId="188" fontId="18" fillId="0" borderId="9" xfId="0" applyNumberFormat="1" applyFont="1" applyBorder="1" applyAlignment="1" applyProtection="1">
      <alignment horizontal="center" vertical="center"/>
      <protection hidden="1"/>
    </xf>
    <xf numFmtId="188" fontId="18" fillId="0" borderId="11" xfId="0" applyNumberFormat="1" applyFont="1" applyBorder="1" applyAlignment="1" applyProtection="1">
      <alignment horizontal="center" vertical="center"/>
      <protection hidden="1"/>
    </xf>
    <xf numFmtId="188" fontId="18" fillId="0" borderId="17" xfId="0" applyNumberFormat="1" applyFont="1" applyBorder="1" applyAlignment="1" applyProtection="1">
      <alignment horizontal="center" vertical="center"/>
      <protection hidden="1"/>
    </xf>
    <xf numFmtId="0" fontId="8" fillId="0" borderId="0" xfId="0" applyFont="1" applyAlignment="1" applyProtection="1">
      <alignment horizontal="center" vertical="center"/>
      <protection hidden="1"/>
    </xf>
    <xf numFmtId="49" fontId="8" fillId="6" borderId="9" xfId="0" applyNumberFormat="1" applyFont="1" applyFill="1" applyBorder="1" applyAlignment="1" applyProtection="1">
      <alignment horizontal="center" vertical="center"/>
      <protection locked="0"/>
    </xf>
    <xf numFmtId="49" fontId="8" fillId="6" borderId="11" xfId="0" applyNumberFormat="1" applyFont="1" applyFill="1" applyBorder="1" applyAlignment="1" applyProtection="1">
      <alignment horizontal="center" vertical="center"/>
      <protection locked="0"/>
    </xf>
    <xf numFmtId="49" fontId="8" fillId="6" borderId="17" xfId="0" applyNumberFormat="1" applyFont="1" applyFill="1" applyBorder="1" applyAlignment="1" applyProtection="1">
      <alignment horizontal="center" vertical="center"/>
      <protection locked="0"/>
    </xf>
    <xf numFmtId="0" fontId="14" fillId="0" borderId="0" xfId="0" applyFont="1" applyAlignment="1" applyProtection="1">
      <alignment vertical="center"/>
      <protection hidden="1"/>
    </xf>
    <xf numFmtId="0" fontId="8" fillId="6" borderId="9" xfId="0" applyFont="1" applyFill="1" applyBorder="1" applyAlignment="1" applyProtection="1">
      <alignment horizontal="left" vertical="center" indent="1"/>
      <protection locked="0"/>
    </xf>
    <xf numFmtId="0" fontId="8" fillId="6" borderId="11" xfId="0" applyFont="1" applyFill="1" applyBorder="1" applyAlignment="1" applyProtection="1">
      <alignment horizontal="left" vertical="center" indent="1"/>
      <protection locked="0"/>
    </xf>
    <xf numFmtId="0" fontId="8" fillId="6" borderId="17" xfId="0" applyFont="1" applyFill="1" applyBorder="1" applyAlignment="1" applyProtection="1">
      <alignment horizontal="left" vertical="center" indent="1"/>
      <protection locked="0"/>
    </xf>
    <xf numFmtId="0" fontId="8" fillId="6" borderId="17" xfId="0" applyFont="1" applyFill="1" applyBorder="1" applyAlignment="1" applyProtection="1">
      <alignment vertical="center"/>
      <protection locked="0"/>
    </xf>
    <xf numFmtId="49" fontId="8" fillId="6" borderId="14" xfId="0" applyNumberFormat="1" applyFont="1" applyFill="1" applyBorder="1" applyAlignment="1" applyProtection="1">
      <alignment horizontal="center" vertical="center"/>
      <protection locked="0"/>
    </xf>
    <xf numFmtId="49" fontId="8" fillId="6" borderId="18" xfId="0" applyNumberFormat="1" applyFont="1" applyFill="1" applyBorder="1" applyAlignment="1" applyProtection="1">
      <alignment horizontal="center" vertical="center"/>
      <protection locked="0"/>
    </xf>
    <xf numFmtId="49" fontId="8" fillId="6" borderId="16" xfId="0" applyNumberFormat="1" applyFont="1" applyFill="1" applyBorder="1" applyAlignment="1" applyProtection="1">
      <alignment horizontal="center" vertical="center"/>
      <protection locked="0"/>
    </xf>
    <xf numFmtId="0" fontId="8" fillId="6" borderId="16" xfId="0" applyFont="1" applyFill="1" applyBorder="1" applyAlignment="1" applyProtection="1">
      <alignment vertical="center"/>
      <protection locked="0"/>
    </xf>
    <xf numFmtId="0" fontId="18" fillId="13" borderId="14" xfId="0" applyFont="1" applyFill="1" applyBorder="1" applyAlignment="1" applyProtection="1">
      <alignment horizontal="left" vertical="center" wrapText="1"/>
      <protection hidden="1"/>
    </xf>
    <xf numFmtId="0" fontId="18" fillId="13" borderId="18" xfId="0" applyFont="1" applyFill="1" applyBorder="1" applyAlignment="1" applyProtection="1">
      <alignment horizontal="left" vertical="center" wrapText="1"/>
      <protection hidden="1"/>
    </xf>
    <xf numFmtId="0" fontId="18" fillId="13" borderId="16" xfId="0" applyFont="1" applyFill="1" applyBorder="1" applyAlignment="1" applyProtection="1">
      <alignment horizontal="left" vertical="center" wrapText="1"/>
      <protection hidden="1"/>
    </xf>
    <xf numFmtId="0" fontId="18" fillId="13" borderId="4" xfId="0" applyFont="1" applyFill="1" applyBorder="1" applyAlignment="1" applyProtection="1">
      <alignment horizontal="left" vertical="center" wrapText="1"/>
      <protection hidden="1"/>
    </xf>
    <xf numFmtId="0" fontId="18" fillId="13" borderId="15" xfId="0" applyFont="1" applyFill="1" applyBorder="1" applyAlignment="1" applyProtection="1">
      <alignment horizontal="left" vertical="center" wrapText="1"/>
      <protection hidden="1"/>
    </xf>
    <xf numFmtId="0" fontId="18" fillId="13" borderId="13" xfId="0" applyFont="1" applyFill="1" applyBorder="1" applyAlignment="1" applyProtection="1">
      <alignment horizontal="left" vertical="center" wrapText="1"/>
      <protection hidden="1"/>
    </xf>
    <xf numFmtId="0" fontId="18" fillId="6" borderId="14" xfId="0" applyFont="1" applyFill="1" applyBorder="1" applyAlignment="1" applyProtection="1">
      <alignment horizontal="left" vertical="center" wrapText="1"/>
      <protection hidden="1"/>
    </xf>
    <xf numFmtId="0" fontId="18" fillId="6" borderId="18" xfId="0" applyFont="1" applyFill="1" applyBorder="1" applyAlignment="1" applyProtection="1">
      <alignment horizontal="left" vertical="center" wrapText="1"/>
      <protection hidden="1"/>
    </xf>
    <xf numFmtId="0" fontId="18" fillId="6" borderId="16" xfId="0" applyFont="1" applyFill="1" applyBorder="1" applyAlignment="1" applyProtection="1">
      <alignment horizontal="left" vertical="center" wrapText="1"/>
      <protection hidden="1"/>
    </xf>
    <xf numFmtId="0" fontId="18" fillId="6" borderId="4" xfId="0" applyFont="1" applyFill="1" applyBorder="1" applyAlignment="1" applyProtection="1">
      <alignment horizontal="left" vertical="center" wrapText="1"/>
      <protection hidden="1"/>
    </xf>
    <xf numFmtId="0" fontId="18" fillId="6" borderId="15" xfId="0" applyFont="1" applyFill="1" applyBorder="1" applyAlignment="1" applyProtection="1">
      <alignment horizontal="left" vertical="center" wrapText="1"/>
      <protection hidden="1"/>
    </xf>
    <xf numFmtId="0" fontId="18" fillId="6" borderId="13" xfId="0" applyFont="1" applyFill="1" applyBorder="1" applyAlignment="1" applyProtection="1">
      <alignment horizontal="left" vertical="center" wrapText="1"/>
      <protection hidden="1"/>
    </xf>
    <xf numFmtId="0" fontId="0" fillId="0" borderId="11" xfId="0" applyBorder="1" applyAlignment="1">
      <alignment vertical="center"/>
    </xf>
    <xf numFmtId="0" fontId="0" fillId="0" borderId="17" xfId="0" applyBorder="1" applyAlignment="1">
      <alignment vertical="center"/>
    </xf>
    <xf numFmtId="0" fontId="7" fillId="7" borderId="0" xfId="0" applyFont="1" applyFill="1" applyAlignment="1" applyProtection="1">
      <alignment horizontal="center" vertical="center" shrinkToFit="1"/>
      <protection hidden="1"/>
    </xf>
    <xf numFmtId="0" fontId="18" fillId="0" borderId="6" xfId="0" applyFont="1" applyBorder="1" applyAlignment="1" applyProtection="1">
      <alignment horizontal="center" vertical="center" shrinkToFit="1"/>
      <protection hidden="1"/>
    </xf>
    <xf numFmtId="0" fontId="18" fillId="0" borderId="8" xfId="0" applyFont="1" applyBorder="1" applyAlignment="1" applyProtection="1">
      <alignment horizontal="center" vertical="center" shrinkToFit="1"/>
      <protection hidden="1"/>
    </xf>
    <xf numFmtId="0" fontId="18" fillId="0" borderId="48" xfId="0" applyFont="1" applyBorder="1" applyAlignment="1" applyProtection="1">
      <alignment horizontal="distributed" vertical="center"/>
      <protection hidden="1"/>
    </xf>
    <xf numFmtId="0" fontId="18" fillId="0" borderId="49" xfId="0" applyFont="1" applyBorder="1" applyAlignment="1" applyProtection="1">
      <alignment horizontal="distributed" vertical="center"/>
      <protection hidden="1"/>
    </xf>
    <xf numFmtId="0" fontId="0" fillId="0" borderId="18" xfId="0" applyBorder="1" applyAlignment="1">
      <alignment vertical="center"/>
    </xf>
    <xf numFmtId="0" fontId="0" fillId="0" borderId="16" xfId="0" applyBorder="1" applyAlignment="1">
      <alignment vertical="center"/>
    </xf>
    <xf numFmtId="0" fontId="18" fillId="0" borderId="6" xfId="0" applyFont="1" applyBorder="1" applyAlignment="1" applyProtection="1">
      <alignment horizontal="center" vertical="center" wrapText="1" shrinkToFit="1"/>
      <protection hidden="1"/>
    </xf>
    <xf numFmtId="0" fontId="18" fillId="0" borderId="8" xfId="0" applyFont="1" applyBorder="1" applyAlignment="1" applyProtection="1">
      <alignment horizontal="center" vertical="center" wrapText="1" shrinkToFit="1"/>
      <protection hidden="1"/>
    </xf>
    <xf numFmtId="0" fontId="8" fillId="14" borderId="5" xfId="0" applyFont="1" applyFill="1" applyBorder="1" applyAlignment="1" applyProtection="1">
      <alignment horizontal="center" vertical="center"/>
      <protection hidden="1"/>
    </xf>
    <xf numFmtId="0" fontId="18" fillId="0" borderId="50" xfId="0" applyFont="1" applyBorder="1" applyAlignment="1" applyProtection="1">
      <alignment horizontal="center" vertical="center" shrinkToFit="1"/>
      <protection hidden="1"/>
    </xf>
    <xf numFmtId="0" fontId="18" fillId="0" borderId="51" xfId="0" applyFont="1" applyBorder="1" applyAlignment="1" applyProtection="1">
      <alignment horizontal="center" vertical="center" shrinkToFit="1"/>
      <protection hidden="1"/>
    </xf>
    <xf numFmtId="0" fontId="17" fillId="0" borderId="11" xfId="0" applyFont="1" applyBorder="1" applyAlignment="1" applyProtection="1">
      <alignment horizontal="center" vertical="center"/>
      <protection hidden="1"/>
    </xf>
    <xf numFmtId="0" fontId="17" fillId="0" borderId="16" xfId="0" applyFont="1" applyBorder="1" applyAlignment="1" applyProtection="1">
      <alignment horizontal="center" vertical="center"/>
      <protection hidden="1"/>
    </xf>
    <xf numFmtId="0" fontId="18" fillId="0" borderId="15" xfId="0" applyFont="1" applyBorder="1" applyAlignment="1" applyProtection="1">
      <alignment horizontal="distributed" vertical="center"/>
      <protection hidden="1"/>
    </xf>
    <xf numFmtId="0" fontId="17" fillId="0" borderId="15" xfId="0" applyFont="1" applyBorder="1" applyAlignment="1" applyProtection="1">
      <alignment horizontal="distributed" vertical="center"/>
      <protection hidden="1"/>
    </xf>
    <xf numFmtId="0" fontId="8" fillId="0" borderId="6" xfId="0" applyFont="1" applyBorder="1" applyAlignment="1" applyProtection="1">
      <alignment horizontal="center" vertical="center" textRotation="255"/>
      <protection hidden="1"/>
    </xf>
    <xf numFmtId="0" fontId="8" fillId="0" borderId="7" xfId="0" applyFont="1" applyBorder="1" applyAlignment="1" applyProtection="1">
      <alignment horizontal="center" vertical="center" textRotation="255"/>
      <protection hidden="1"/>
    </xf>
    <xf numFmtId="0" fontId="8" fillId="0" borderId="8" xfId="0" applyFont="1" applyBorder="1" applyAlignment="1" applyProtection="1">
      <alignment horizontal="center" vertical="center" textRotation="255"/>
      <protection hidden="1"/>
    </xf>
    <xf numFmtId="0" fontId="24" fillId="0" borderId="14" xfId="0" applyFont="1" applyBorder="1" applyAlignment="1" applyProtection="1">
      <alignment horizontal="center"/>
      <protection hidden="1"/>
    </xf>
    <xf numFmtId="0" fontId="24" fillId="0" borderId="18" xfId="0" applyFont="1" applyBorder="1" applyAlignment="1" applyProtection="1">
      <alignment horizontal="center"/>
      <protection hidden="1"/>
    </xf>
    <xf numFmtId="0" fontId="24" fillId="0" borderId="16" xfId="0" applyFont="1" applyBorder="1" applyAlignment="1" applyProtection="1">
      <alignment horizontal="center"/>
      <protection hidden="1"/>
    </xf>
    <xf numFmtId="0" fontId="24" fillId="0" borderId="3" xfId="0" applyFont="1" applyBorder="1" applyAlignment="1" applyProtection="1">
      <alignment horizontal="center"/>
      <protection hidden="1"/>
    </xf>
    <xf numFmtId="0" fontId="24" fillId="0" borderId="0" xfId="0" applyFont="1" applyAlignment="1" applyProtection="1">
      <alignment horizontal="center"/>
      <protection hidden="1"/>
    </xf>
    <xf numFmtId="0" fontId="24" fillId="0" borderId="12" xfId="0" applyFont="1" applyBorder="1" applyAlignment="1" applyProtection="1">
      <alignment horizontal="center"/>
      <protection hidden="1"/>
    </xf>
    <xf numFmtId="0" fontId="24" fillId="0" borderId="4" xfId="0" applyFont="1" applyBorder="1" applyAlignment="1" applyProtection="1">
      <alignment horizontal="center"/>
      <protection hidden="1"/>
    </xf>
    <xf numFmtId="0" fontId="24" fillId="0" borderId="15" xfId="0" applyFont="1" applyBorder="1" applyAlignment="1" applyProtection="1">
      <alignment horizontal="center"/>
      <protection hidden="1"/>
    </xf>
    <xf numFmtId="0" fontId="24" fillId="0" borderId="13" xfId="0" applyFont="1" applyBorder="1" applyAlignment="1" applyProtection="1">
      <alignment horizontal="center"/>
      <protection hidden="1"/>
    </xf>
    <xf numFmtId="0" fontId="18" fillId="0" borderId="14" xfId="0" applyFont="1" applyBorder="1" applyAlignment="1" applyProtection="1">
      <alignment vertical="center"/>
      <protection hidden="1"/>
    </xf>
    <xf numFmtId="0" fontId="18" fillId="0" borderId="9" xfId="0" applyFont="1" applyBorder="1" applyAlignment="1" applyProtection="1">
      <alignment vertical="center"/>
      <protection hidden="1"/>
    </xf>
    <xf numFmtId="0" fontId="42" fillId="0" borderId="0" xfId="0" applyFont="1" applyAlignment="1" applyProtection="1">
      <alignment horizontal="left" vertical="center" wrapText="1"/>
      <protection hidden="1"/>
    </xf>
    <xf numFmtId="0" fontId="7" fillId="8" borderId="0" xfId="0" applyFont="1" applyFill="1" applyAlignment="1" applyProtection="1">
      <alignment horizontal="center" vertical="center" shrinkToFit="1"/>
      <protection hidden="1"/>
    </xf>
    <xf numFmtId="0" fontId="20" fillId="0" borderId="1" xfId="0" applyFont="1" applyBorder="1" applyAlignment="1" applyProtection="1">
      <alignment horizontal="center" vertical="center"/>
      <protection hidden="1"/>
    </xf>
    <xf numFmtId="0" fontId="8" fillId="0" borderId="1" xfId="0" applyFont="1" applyBorder="1" applyAlignment="1" applyProtection="1">
      <alignment horizontal="center" vertical="center" shrinkToFit="1"/>
      <protection hidden="1"/>
    </xf>
    <xf numFmtId="0" fontId="17" fillId="0" borderId="9" xfId="0" applyFont="1" applyBorder="1" applyAlignment="1" applyProtection="1">
      <alignment horizontal="center" vertical="center" shrinkToFit="1"/>
      <protection hidden="1"/>
    </xf>
    <xf numFmtId="0" fontId="17" fillId="0" borderId="11" xfId="0" applyFont="1" applyBorder="1" applyAlignment="1" applyProtection="1">
      <alignment horizontal="center" vertical="center" shrinkToFit="1"/>
      <protection hidden="1"/>
    </xf>
    <xf numFmtId="0" fontId="17" fillId="0" borderId="16" xfId="0" applyFont="1" applyBorder="1" applyAlignment="1" applyProtection="1">
      <alignment horizontal="center" vertical="center" shrinkToFit="1"/>
      <protection hidden="1"/>
    </xf>
    <xf numFmtId="0" fontId="17" fillId="0" borderId="50" xfId="0" applyFont="1" applyBorder="1" applyAlignment="1" applyProtection="1">
      <alignment horizontal="center" vertical="center"/>
      <protection hidden="1"/>
    </xf>
    <xf numFmtId="0" fontId="17" fillId="0" borderId="52" xfId="0" applyFont="1" applyBorder="1" applyAlignment="1" applyProtection="1">
      <alignment horizontal="center" vertical="center"/>
      <protection hidden="1"/>
    </xf>
    <xf numFmtId="0" fontId="17" fillId="0" borderId="51" xfId="0" applyFont="1" applyBorder="1" applyAlignment="1" applyProtection="1">
      <alignment horizontal="center" vertical="center"/>
      <protection hidden="1"/>
    </xf>
    <xf numFmtId="38" fontId="18" fillId="0" borderId="5" xfId="2" applyFont="1" applyFill="1" applyBorder="1" applyAlignment="1" applyProtection="1">
      <alignment horizontal="center" vertical="center" shrinkToFit="1"/>
      <protection hidden="1"/>
    </xf>
    <xf numFmtId="0" fontId="18" fillId="0" borderId="5" xfId="0" applyFont="1" applyBorder="1" applyAlignment="1" applyProtection="1">
      <alignment horizontal="center"/>
      <protection hidden="1"/>
    </xf>
    <xf numFmtId="38" fontId="18" fillId="0" borderId="5" xfId="2" applyFont="1" applyFill="1" applyBorder="1" applyAlignment="1" applyProtection="1">
      <alignment horizontal="distributed" vertical="center" indent="1" shrinkToFit="1"/>
      <protection hidden="1"/>
    </xf>
    <xf numFmtId="0" fontId="18" fillId="0" borderId="5" xfId="0" applyFont="1" applyBorder="1" applyAlignment="1" applyProtection="1">
      <alignment horizontal="distributed" indent="1"/>
      <protection hidden="1"/>
    </xf>
    <xf numFmtId="178" fontId="18" fillId="0" borderId="5" xfId="0" applyNumberFormat="1" applyFont="1" applyBorder="1" applyAlignment="1" applyProtection="1">
      <alignment horizontal="distributed" vertical="center" indent="1"/>
      <protection hidden="1"/>
    </xf>
    <xf numFmtId="0" fontId="18" fillId="0" borderId="46" xfId="0" applyFont="1" applyBorder="1" applyAlignment="1" applyProtection="1">
      <alignment horizontal="center" vertical="center"/>
      <protection hidden="1"/>
    </xf>
    <xf numFmtId="0" fontId="18" fillId="0" borderId="42" xfId="0" applyFont="1" applyBorder="1" applyAlignment="1" applyProtection="1">
      <alignment horizontal="center" vertical="center"/>
      <protection hidden="1"/>
    </xf>
    <xf numFmtId="0" fontId="18" fillId="0" borderId="55" xfId="0" applyFont="1" applyBorder="1" applyAlignment="1" applyProtection="1">
      <alignment horizontal="center" vertical="center"/>
      <protection hidden="1"/>
    </xf>
    <xf numFmtId="178" fontId="18" fillId="0" borderId="6" xfId="0" applyNumberFormat="1" applyFont="1" applyBorder="1" applyAlignment="1" applyProtection="1">
      <alignment horizontal="distributed" vertical="center" indent="1"/>
      <protection hidden="1"/>
    </xf>
    <xf numFmtId="0" fontId="18" fillId="0" borderId="5" xfId="0" applyFont="1" applyBorder="1" applyAlignment="1" applyProtection="1">
      <alignment horizontal="distributed" vertical="center" indent="1"/>
      <protection hidden="1"/>
    </xf>
    <xf numFmtId="38" fontId="42" fillId="0" borderId="0" xfId="2" applyFont="1" applyFill="1" applyBorder="1" applyAlignment="1" applyProtection="1">
      <alignment horizontal="left" vertical="center" wrapText="1"/>
      <protection hidden="1"/>
    </xf>
    <xf numFmtId="0" fontId="0" fillId="8" borderId="0" xfId="0" applyFill="1" applyAlignment="1" applyProtection="1">
      <alignment horizontal="center" vertical="center" shrinkToFit="1"/>
      <protection hidden="1"/>
    </xf>
    <xf numFmtId="0" fontId="24" fillId="0" borderId="6" xfId="0" applyFont="1" applyBorder="1" applyAlignment="1" applyProtection="1">
      <alignment horizontal="center" vertical="center"/>
      <protection hidden="1"/>
    </xf>
    <xf numFmtId="0" fontId="24" fillId="0" borderId="8" xfId="0" applyFont="1" applyBorder="1" applyAlignment="1" applyProtection="1">
      <alignment horizontal="center" vertical="center"/>
      <protection hidden="1"/>
    </xf>
    <xf numFmtId="38" fontId="18" fillId="0" borderId="6" xfId="2" applyFont="1" applyFill="1" applyBorder="1" applyAlignment="1" applyProtection="1">
      <alignment horizontal="center" vertical="center" wrapText="1"/>
      <protection hidden="1"/>
    </xf>
    <xf numFmtId="38" fontId="18" fillId="0" borderId="8" xfId="2" applyFont="1" applyFill="1" applyBorder="1" applyAlignment="1" applyProtection="1">
      <alignment horizontal="center" vertical="center"/>
      <protection hidden="1"/>
    </xf>
    <xf numFmtId="0" fontId="18" fillId="0" borderId="6" xfId="0" applyFont="1" applyBorder="1" applyAlignment="1" applyProtection="1">
      <alignment horizontal="center" vertical="center"/>
      <protection hidden="1"/>
    </xf>
    <xf numFmtId="0" fontId="18" fillId="0" borderId="8" xfId="0" applyFont="1" applyBorder="1" applyAlignment="1" applyProtection="1">
      <alignment horizontal="center" vertical="center"/>
      <protection hidden="1"/>
    </xf>
    <xf numFmtId="38" fontId="17" fillId="0" borderId="15" xfId="2" applyFont="1" applyFill="1" applyBorder="1" applyAlignment="1" applyProtection="1">
      <alignment horizontal="left" vertical="center"/>
      <protection hidden="1"/>
    </xf>
    <xf numFmtId="0" fontId="18" fillId="0" borderId="53" xfId="0" applyFont="1" applyBorder="1" applyAlignment="1" applyProtection="1">
      <alignment horizontal="center" vertical="center"/>
      <protection hidden="1"/>
    </xf>
    <xf numFmtId="0" fontId="18" fillId="0" borderId="54" xfId="0" applyFont="1" applyBorder="1" applyAlignment="1" applyProtection="1">
      <alignment horizontal="center" vertical="center"/>
      <protection hidden="1"/>
    </xf>
    <xf numFmtId="0" fontId="18" fillId="0" borderId="73" xfId="0" applyFont="1" applyBorder="1" applyAlignment="1" applyProtection="1">
      <alignment vertical="center" shrinkToFit="1"/>
      <protection hidden="1"/>
    </xf>
    <xf numFmtId="0" fontId="18" fillId="0" borderId="74" xfId="0" applyFont="1" applyBorder="1" applyAlignment="1" applyProtection="1">
      <alignment vertical="center" shrinkToFit="1"/>
      <protection hidden="1"/>
    </xf>
    <xf numFmtId="0" fontId="8" fillId="6" borderId="5" xfId="0" applyFont="1" applyFill="1" applyBorder="1" applyAlignment="1" applyProtection="1">
      <alignment horizontal="right" vertical="center" indent="1"/>
      <protection locked="0"/>
    </xf>
    <xf numFmtId="38" fontId="8" fillId="6" borderId="71" xfId="2" applyFont="1" applyFill="1" applyBorder="1" applyAlignment="1" applyProtection="1">
      <alignment horizontal="right" vertical="center" indent="1"/>
      <protection locked="0"/>
    </xf>
    <xf numFmtId="0" fontId="18" fillId="0" borderId="15" xfId="0" applyFont="1" applyBorder="1" applyAlignment="1" applyProtection="1">
      <alignment vertical="center" shrinkToFit="1"/>
      <protection hidden="1"/>
    </xf>
    <xf numFmtId="0" fontId="17" fillId="0" borderId="0" xfId="0" applyFont="1" applyAlignment="1" applyProtection="1">
      <alignment horizontal="center" shrinkToFit="1"/>
      <protection hidden="1"/>
    </xf>
    <xf numFmtId="0" fontId="18" fillId="0" borderId="5" xfId="0" applyFont="1" applyBorder="1" applyAlignment="1" applyProtection="1">
      <alignment horizontal="center" vertical="center"/>
      <protection hidden="1"/>
    </xf>
    <xf numFmtId="38" fontId="8" fillId="6" borderId="9" xfId="2" applyFont="1" applyFill="1" applyBorder="1" applyAlignment="1" applyProtection="1">
      <alignment horizontal="right" vertical="center" indent="1"/>
      <protection locked="0"/>
    </xf>
    <xf numFmtId="38" fontId="8" fillId="6" borderId="11" xfId="2" applyFont="1" applyFill="1" applyBorder="1" applyAlignment="1" applyProtection="1">
      <alignment horizontal="right" vertical="center" indent="1"/>
      <protection locked="0"/>
    </xf>
    <xf numFmtId="0" fontId="8" fillId="6" borderId="11" xfId="0" applyFont="1" applyFill="1" applyBorder="1" applyAlignment="1" applyProtection="1">
      <alignment horizontal="right" vertical="center" indent="1"/>
      <protection locked="0"/>
    </xf>
    <xf numFmtId="0" fontId="8" fillId="6" borderId="17" xfId="0" applyFont="1" applyFill="1" applyBorder="1" applyAlignment="1" applyProtection="1">
      <alignment horizontal="right" vertical="center" indent="1"/>
      <protection locked="0"/>
    </xf>
    <xf numFmtId="0" fontId="18" fillId="5" borderId="15" xfId="0" applyFont="1" applyFill="1" applyBorder="1" applyAlignment="1" applyProtection="1">
      <alignment horizontal="center" vertical="center"/>
      <protection hidden="1"/>
    </xf>
    <xf numFmtId="38" fontId="8" fillId="5" borderId="9" xfId="2" applyFont="1" applyFill="1" applyBorder="1" applyAlignment="1" applyProtection="1">
      <alignment horizontal="right" vertical="center" indent="1"/>
      <protection hidden="1"/>
    </xf>
    <xf numFmtId="38" fontId="8" fillId="5" borderId="11" xfId="2" applyFont="1" applyFill="1" applyBorder="1" applyAlignment="1" applyProtection="1">
      <alignment horizontal="right" vertical="center" indent="1"/>
      <protection hidden="1"/>
    </xf>
    <xf numFmtId="0" fontId="8" fillId="5" borderId="11" xfId="0" applyFont="1" applyFill="1" applyBorder="1" applyAlignment="1" applyProtection="1">
      <alignment horizontal="right" vertical="center" indent="1"/>
      <protection hidden="1"/>
    </xf>
    <xf numFmtId="0" fontId="8" fillId="5" borderId="17" xfId="0" applyFont="1" applyFill="1" applyBorder="1" applyAlignment="1" applyProtection="1">
      <alignment horizontal="right" vertical="center" indent="1"/>
      <protection hidden="1"/>
    </xf>
    <xf numFmtId="0" fontId="18" fillId="0" borderId="11" xfId="0" applyFont="1" applyBorder="1" applyAlignment="1" applyProtection="1">
      <alignment vertical="center"/>
      <protection hidden="1"/>
    </xf>
    <xf numFmtId="0" fontId="18" fillId="0" borderId="4" xfId="0" applyFont="1" applyBorder="1" applyAlignment="1" applyProtection="1">
      <alignment horizontal="distributed" vertical="center" indent="1"/>
      <protection hidden="1"/>
    </xf>
    <xf numFmtId="0" fontId="18" fillId="0" borderId="15" xfId="0" applyFont="1" applyBorder="1" applyAlignment="1" applyProtection="1">
      <alignment horizontal="distributed" vertical="center" indent="1"/>
      <protection hidden="1"/>
    </xf>
    <xf numFmtId="0" fontId="8" fillId="6" borderId="8" xfId="0" applyFont="1" applyFill="1" applyBorder="1" applyAlignment="1" applyProtection="1">
      <alignment horizontal="right" vertical="center" indent="1"/>
      <protection locked="0"/>
    </xf>
    <xf numFmtId="0" fontId="18" fillId="0" borderId="15" xfId="0" applyFont="1" applyBorder="1" applyAlignment="1" applyProtection="1">
      <alignment vertical="center"/>
      <protection hidden="1"/>
    </xf>
    <xf numFmtId="0" fontId="18" fillId="0" borderId="17" xfId="0" applyFont="1" applyBorder="1" applyAlignment="1" applyProtection="1">
      <alignment vertical="center"/>
      <protection hidden="1"/>
    </xf>
    <xf numFmtId="0" fontId="18" fillId="0" borderId="9" xfId="0" applyFont="1" applyBorder="1" applyAlignment="1" applyProtection="1">
      <alignment horizontal="distributed" vertical="center" indent="1"/>
      <protection hidden="1"/>
    </xf>
    <xf numFmtId="0" fontId="18" fillId="0" borderId="11" xfId="0" applyFont="1" applyBorder="1" applyAlignment="1" applyProtection="1">
      <alignment horizontal="distributed" vertical="center" indent="1"/>
      <protection hidden="1"/>
    </xf>
    <xf numFmtId="0" fontId="8" fillId="0" borderId="73" xfId="0" applyFont="1" applyBorder="1" applyAlignment="1" applyProtection="1">
      <alignment horizontal="center" vertical="center"/>
      <protection hidden="1"/>
    </xf>
    <xf numFmtId="0" fontId="8" fillId="0" borderId="74" xfId="0" applyFont="1" applyBorder="1" applyAlignment="1" applyProtection="1">
      <alignment horizontal="center" vertical="center"/>
      <protection hidden="1"/>
    </xf>
    <xf numFmtId="0" fontId="18" fillId="0" borderId="5" xfId="0" applyFont="1" applyBorder="1" applyAlignment="1" applyProtection="1">
      <alignment vertical="center"/>
      <protection hidden="1"/>
    </xf>
    <xf numFmtId="0" fontId="8" fillId="0" borderId="15"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18" fillId="5" borderId="11" xfId="0" applyFont="1" applyFill="1" applyBorder="1" applyAlignment="1" applyProtection="1">
      <alignment horizontal="center" vertical="center"/>
      <protection hidden="1"/>
    </xf>
    <xf numFmtId="0" fontId="44" fillId="0" borderId="0" xfId="0" applyFont="1" applyAlignment="1" applyProtection="1">
      <alignment horizontal="left"/>
      <protection hidden="1"/>
    </xf>
    <xf numFmtId="0" fontId="44" fillId="0" borderId="0" xfId="0" applyFont="1" applyAlignment="1" applyProtection="1">
      <alignment horizontal="left" vertical="center"/>
      <protection hidden="1"/>
    </xf>
    <xf numFmtId="0" fontId="18" fillId="0" borderId="13" xfId="0" applyFont="1" applyBorder="1" applyAlignment="1" applyProtection="1">
      <alignment vertical="center" shrinkToFit="1"/>
      <protection hidden="1"/>
    </xf>
    <xf numFmtId="0" fontId="18" fillId="0" borderId="18" xfId="0" applyFont="1" applyBorder="1" applyAlignment="1" applyProtection="1">
      <alignment vertical="center" shrinkToFit="1"/>
      <protection hidden="1"/>
    </xf>
    <xf numFmtId="0" fontId="8" fillId="0" borderId="72" xfId="0" applyFont="1" applyBorder="1" applyAlignment="1" applyProtection="1">
      <alignment horizontal="center" vertical="center"/>
      <protection hidden="1"/>
    </xf>
    <xf numFmtId="0" fontId="8" fillId="0" borderId="77" xfId="0" applyFont="1" applyBorder="1" applyAlignment="1" applyProtection="1">
      <alignment horizontal="center" vertical="center"/>
      <protection hidden="1"/>
    </xf>
    <xf numFmtId="0" fontId="18" fillId="0" borderId="16" xfId="0" applyFont="1" applyBorder="1" applyAlignment="1" applyProtection="1">
      <alignment vertical="center" shrinkToFit="1"/>
      <protection hidden="1"/>
    </xf>
    <xf numFmtId="38" fontId="8" fillId="6" borderId="8" xfId="2" applyFont="1" applyFill="1" applyBorder="1" applyAlignment="1" applyProtection="1">
      <alignment horizontal="right" vertical="center" indent="1"/>
      <protection locked="0"/>
    </xf>
    <xf numFmtId="0" fontId="18" fillId="0" borderId="11" xfId="0" applyFont="1" applyBorder="1" applyAlignment="1" applyProtection="1">
      <alignment vertical="center" shrinkToFit="1"/>
      <protection hidden="1"/>
    </xf>
    <xf numFmtId="0" fontId="18" fillId="0" borderId="17" xfId="0" applyFont="1" applyBorder="1" applyAlignment="1" applyProtection="1">
      <alignment vertical="center" shrinkToFit="1"/>
      <protection hidden="1"/>
    </xf>
    <xf numFmtId="38" fontId="8" fillId="6" borderId="6" xfId="2" applyFont="1" applyFill="1" applyBorder="1" applyAlignment="1" applyProtection="1">
      <alignment horizontal="right" vertical="center" indent="1"/>
      <protection locked="0"/>
    </xf>
    <xf numFmtId="0" fontId="8" fillId="0" borderId="56" xfId="0" applyFont="1" applyBorder="1" applyAlignment="1" applyProtection="1">
      <alignment horizontal="center" vertical="center"/>
      <protection hidden="1"/>
    </xf>
    <xf numFmtId="0" fontId="8" fillId="0" borderId="57" xfId="0" applyFont="1" applyBorder="1" applyAlignment="1" applyProtection="1">
      <alignment horizontal="center" vertical="center"/>
      <protection hidden="1"/>
    </xf>
    <xf numFmtId="0" fontId="8" fillId="0" borderId="18" xfId="0" applyFont="1" applyBorder="1" applyAlignment="1" applyProtection="1">
      <alignment horizontal="center" vertical="center"/>
      <protection hidden="1"/>
    </xf>
    <xf numFmtId="0" fontId="18" fillId="0" borderId="77" xfId="0" applyFont="1" applyBorder="1" applyAlignment="1" applyProtection="1">
      <alignment vertical="center" shrinkToFit="1"/>
      <protection hidden="1"/>
    </xf>
    <xf numFmtId="0" fontId="18" fillId="0" borderId="78" xfId="0" applyFont="1" applyBorder="1" applyAlignment="1" applyProtection="1">
      <alignment vertical="center" shrinkToFit="1"/>
      <protection hidden="1"/>
    </xf>
    <xf numFmtId="6" fontId="18" fillId="0" borderId="46" xfId="3" applyFont="1" applyFill="1" applyBorder="1" applyAlignment="1" applyProtection="1">
      <alignment vertical="center"/>
      <protection hidden="1"/>
    </xf>
    <xf numFmtId="6" fontId="18" fillId="0" borderId="42" xfId="3" applyFont="1" applyFill="1" applyBorder="1" applyAlignment="1" applyProtection="1">
      <alignment vertical="center"/>
      <protection hidden="1"/>
    </xf>
    <xf numFmtId="0" fontId="8" fillId="5" borderId="42" xfId="0" applyFont="1" applyFill="1" applyBorder="1" applyAlignment="1" applyProtection="1">
      <alignment horizontal="center" vertical="center"/>
      <protection hidden="1"/>
    </xf>
    <xf numFmtId="0" fontId="8" fillId="0" borderId="0" xfId="0" applyFont="1" applyAlignment="1" applyProtection="1">
      <alignment horizontal="center" vertical="center" shrinkToFit="1"/>
      <protection hidden="1"/>
    </xf>
    <xf numFmtId="0" fontId="18" fillId="0" borderId="71" xfId="0" applyFont="1" applyBorder="1" applyAlignment="1" applyProtection="1">
      <alignment horizontal="center" vertical="center"/>
      <protection hidden="1"/>
    </xf>
    <xf numFmtId="0" fontId="8" fillId="0" borderId="16" xfId="0" applyFont="1" applyBorder="1" applyAlignment="1" applyProtection="1">
      <alignment horizontal="center" vertical="center"/>
      <protection hidden="1"/>
    </xf>
    <xf numFmtId="0" fontId="8" fillId="0" borderId="17" xfId="0" applyFont="1" applyBorder="1" applyAlignment="1" applyProtection="1">
      <alignment horizontal="center" vertical="center"/>
      <protection hidden="1"/>
    </xf>
    <xf numFmtId="0" fontId="19" fillId="5" borderId="16" xfId="0" applyFont="1" applyFill="1" applyBorder="1" applyAlignment="1" applyProtection="1">
      <alignment horizontal="left" vertical="center" wrapText="1"/>
      <protection hidden="1"/>
    </xf>
    <xf numFmtId="0" fontId="19" fillId="5" borderId="12" xfId="0" applyFont="1" applyFill="1" applyBorder="1" applyAlignment="1" applyProtection="1">
      <alignment horizontal="left" vertical="center" wrapText="1"/>
      <protection hidden="1"/>
    </xf>
    <xf numFmtId="0" fontId="18" fillId="0" borderId="48" xfId="0" applyFont="1" applyBorder="1" applyAlignment="1" applyProtection="1">
      <alignment horizontal="center" vertical="center"/>
      <protection hidden="1"/>
    </xf>
    <xf numFmtId="0" fontId="18" fillId="0" borderId="49" xfId="0" applyFont="1" applyBorder="1" applyAlignment="1" applyProtection="1">
      <alignment horizontal="center" vertical="center"/>
      <protection hidden="1"/>
    </xf>
    <xf numFmtId="0" fontId="8" fillId="6" borderId="48" xfId="0" applyFont="1" applyFill="1" applyBorder="1" applyAlignment="1" applyProtection="1">
      <alignment horizontal="right" vertical="center" indent="1"/>
      <protection locked="0"/>
    </xf>
    <xf numFmtId="0" fontId="8" fillId="6" borderId="56" xfId="0" applyFont="1" applyFill="1" applyBorder="1" applyAlignment="1" applyProtection="1">
      <alignment horizontal="right" vertical="center" indent="1"/>
      <protection locked="0"/>
    </xf>
    <xf numFmtId="0" fontId="8" fillId="6" borderId="58" xfId="0" applyFont="1" applyFill="1" applyBorder="1" applyAlignment="1" applyProtection="1">
      <alignment horizontal="right" vertical="center" indent="1"/>
      <protection locked="0"/>
    </xf>
    <xf numFmtId="0" fontId="8" fillId="6" borderId="49" xfId="0" applyFont="1" applyFill="1" applyBorder="1" applyAlignment="1" applyProtection="1">
      <alignment horizontal="right" vertical="center" indent="1"/>
      <protection locked="0"/>
    </xf>
    <xf numFmtId="0" fontId="18" fillId="0" borderId="11" xfId="0" applyFont="1" applyBorder="1" applyAlignment="1" applyProtection="1">
      <alignment horizontal="left" vertical="center"/>
      <protection hidden="1"/>
    </xf>
    <xf numFmtId="0" fontId="21"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1" fillId="0" borderId="28" xfId="0" applyFont="1" applyBorder="1" applyAlignment="1" applyProtection="1">
      <alignment horizontal="distributed" vertical="center"/>
      <protection hidden="1"/>
    </xf>
    <xf numFmtId="0" fontId="21" fillId="0" borderId="32" xfId="0" applyFont="1" applyBorder="1" applyAlignment="1" applyProtection="1">
      <alignment horizontal="distributed" vertical="center"/>
      <protection hidden="1"/>
    </xf>
    <xf numFmtId="38" fontId="21" fillId="0" borderId="21" xfId="0" applyNumberFormat="1" applyFont="1" applyBorder="1" applyAlignment="1" applyProtection="1">
      <alignment horizontal="right" vertical="center"/>
      <protection hidden="1"/>
    </xf>
    <xf numFmtId="0" fontId="21" fillId="0" borderId="28" xfId="0" applyFont="1" applyBorder="1" applyAlignment="1" applyProtection="1">
      <alignment horizontal="right" vertical="center"/>
      <protection hidden="1"/>
    </xf>
    <xf numFmtId="0" fontId="21" fillId="0" borderId="32" xfId="0" applyFont="1" applyBorder="1" applyAlignment="1" applyProtection="1">
      <alignment horizontal="right" vertical="center"/>
      <protection hidden="1"/>
    </xf>
    <xf numFmtId="0" fontId="21" fillId="0" borderId="21" xfId="0" applyFont="1" applyBorder="1" applyAlignment="1" applyProtection="1">
      <alignment horizontal="right" vertical="center"/>
      <protection hidden="1"/>
    </xf>
    <xf numFmtId="0" fontId="22" fillId="0" borderId="28" xfId="0" applyFont="1" applyBorder="1" applyAlignment="1" applyProtection="1">
      <alignment horizontal="right" vertical="center"/>
      <protection hidden="1"/>
    </xf>
    <xf numFmtId="0" fontId="22" fillId="0" borderId="32" xfId="0" applyFont="1" applyBorder="1" applyAlignment="1" applyProtection="1">
      <alignment horizontal="right" vertical="center"/>
      <protection hidden="1"/>
    </xf>
    <xf numFmtId="0" fontId="21" fillId="0" borderId="28" xfId="0" applyFont="1" applyBorder="1" applyAlignment="1" applyProtection="1">
      <alignment horizontal="center" vertical="center"/>
      <protection hidden="1"/>
    </xf>
    <xf numFmtId="0" fontId="21" fillId="0" borderId="32" xfId="0" applyFont="1" applyBorder="1" applyAlignment="1" applyProtection="1">
      <alignment horizontal="center" vertical="center"/>
      <protection hidden="1"/>
    </xf>
    <xf numFmtId="0" fontId="21" fillId="0" borderId="21" xfId="0" applyFont="1" applyBorder="1" applyAlignment="1" applyProtection="1">
      <alignment horizontal="right" vertical="center" shrinkToFit="1"/>
      <protection hidden="1"/>
    </xf>
    <xf numFmtId="0" fontId="22" fillId="0" borderId="28" xfId="0" applyFont="1" applyBorder="1" applyAlignment="1" applyProtection="1">
      <alignment horizontal="right" vertical="center" shrinkToFit="1"/>
      <protection hidden="1"/>
    </xf>
    <xf numFmtId="0" fontId="22" fillId="0" borderId="32" xfId="0" applyFont="1" applyBorder="1" applyAlignment="1" applyProtection="1">
      <alignment horizontal="right" vertical="center" shrinkToFit="1"/>
      <protection hidden="1"/>
    </xf>
    <xf numFmtId="1" fontId="21" fillId="0" borderId="59" xfId="0" applyNumberFormat="1" applyFont="1" applyBorder="1" applyAlignment="1" applyProtection="1">
      <alignment horizontal="right" vertical="center"/>
      <protection hidden="1"/>
    </xf>
    <xf numFmtId="0" fontId="21" fillId="0" borderId="59" xfId="0" applyFont="1" applyBorder="1" applyAlignment="1" applyProtection="1">
      <alignment horizontal="right" vertical="center"/>
      <protection hidden="1"/>
    </xf>
    <xf numFmtId="0" fontId="21" fillId="0" borderId="60" xfId="0" applyFont="1" applyBorder="1" applyAlignment="1" applyProtection="1">
      <alignment horizontal="right" vertical="center"/>
      <protection hidden="1"/>
    </xf>
    <xf numFmtId="38" fontId="21" fillId="0" borderId="59" xfId="0" applyNumberFormat="1" applyFont="1" applyBorder="1" applyAlignment="1" applyProtection="1">
      <alignment horizontal="right" vertical="center"/>
      <protection hidden="1"/>
    </xf>
    <xf numFmtId="0" fontId="22" fillId="0" borderId="28" xfId="0" applyFont="1" applyBorder="1" applyAlignment="1" applyProtection="1">
      <alignment horizontal="distributed" vertical="center"/>
      <protection hidden="1"/>
    </xf>
    <xf numFmtId="0" fontId="22" fillId="0" borderId="32" xfId="0" applyFont="1" applyBorder="1" applyAlignment="1" applyProtection="1">
      <alignment horizontal="distributed" vertical="center"/>
      <protection hidden="1"/>
    </xf>
    <xf numFmtId="0" fontId="21" fillId="0" borderId="21" xfId="0" applyFont="1" applyBorder="1" applyAlignment="1" applyProtection="1">
      <alignment horizontal="distributed" vertical="center"/>
      <protection hidden="1"/>
    </xf>
    <xf numFmtId="0" fontId="22" fillId="0" borderId="28" xfId="0" applyFont="1" applyBorder="1" applyProtection="1">
      <protection hidden="1"/>
    </xf>
    <xf numFmtId="0" fontId="21" fillId="0" borderId="28" xfId="0" applyFont="1" applyBorder="1" applyAlignment="1" applyProtection="1">
      <alignment horizontal="center"/>
      <protection hidden="1"/>
    </xf>
    <xf numFmtId="0" fontId="21" fillId="0" borderId="32" xfId="0" applyFont="1" applyBorder="1" applyAlignment="1" applyProtection="1">
      <alignment horizontal="center"/>
      <protection hidden="1"/>
    </xf>
    <xf numFmtId="0" fontId="21" fillId="0" borderId="28" xfId="0" applyFont="1" applyBorder="1" applyAlignment="1" applyProtection="1">
      <alignment horizontal="distributed" vertical="center" shrinkToFit="1"/>
      <protection hidden="1"/>
    </xf>
    <xf numFmtId="0" fontId="21" fillId="0" borderId="32" xfId="0" applyFont="1" applyBorder="1" applyAlignment="1" applyProtection="1">
      <alignment horizontal="distributed" vertical="center" shrinkToFit="1"/>
      <protection hidden="1"/>
    </xf>
    <xf numFmtId="0" fontId="43" fillId="0" borderId="28" xfId="0" applyFont="1" applyBorder="1" applyAlignment="1" applyProtection="1">
      <alignment horizontal="distributed" vertical="center" shrinkToFit="1"/>
      <protection hidden="1"/>
    </xf>
    <xf numFmtId="0" fontId="43" fillId="0" borderId="32" xfId="0" applyFont="1" applyBorder="1" applyAlignment="1" applyProtection="1">
      <alignment horizontal="distributed" vertical="center" shrinkToFit="1"/>
      <protection hidden="1"/>
    </xf>
    <xf numFmtId="38" fontId="21" fillId="0" borderId="28" xfId="0" applyNumberFormat="1" applyFont="1" applyBorder="1" applyAlignment="1" applyProtection="1">
      <alignment horizontal="right" vertical="center"/>
      <protection hidden="1"/>
    </xf>
    <xf numFmtId="0" fontId="21" fillId="0" borderId="21" xfId="0" applyFont="1" applyBorder="1" applyAlignment="1" applyProtection="1">
      <alignment horizontal="distributed" vertical="center" shrinkToFit="1"/>
      <protection hidden="1"/>
    </xf>
    <xf numFmtId="0" fontId="21" fillId="0" borderId="21" xfId="0" applyFont="1" applyBorder="1" applyAlignment="1" applyProtection="1">
      <alignment horizontal="distributed" vertical="center" indent="1"/>
      <protection hidden="1"/>
    </xf>
    <xf numFmtId="0" fontId="22" fillId="0" borderId="28" xfId="0" applyFont="1" applyBorder="1" applyAlignment="1" applyProtection="1">
      <alignment horizontal="distributed" vertical="center" indent="1"/>
      <protection hidden="1"/>
    </xf>
    <xf numFmtId="0" fontId="22" fillId="0" borderId="32" xfId="0" applyFont="1" applyBorder="1" applyAlignment="1" applyProtection="1">
      <alignment horizontal="distributed" vertical="center" indent="1"/>
      <protection hidden="1"/>
    </xf>
    <xf numFmtId="0" fontId="21" fillId="0" borderId="21" xfId="0" applyFont="1" applyBorder="1" applyAlignment="1" applyProtection="1">
      <alignment horizontal="center" vertical="center"/>
      <protection hidden="1"/>
    </xf>
    <xf numFmtId="0" fontId="0" fillId="0" borderId="28" xfId="0" applyBorder="1" applyAlignment="1">
      <alignment horizontal="center" vertical="center"/>
    </xf>
    <xf numFmtId="0" fontId="0" fillId="0" borderId="32" xfId="0" applyBorder="1" applyAlignment="1">
      <alignment horizontal="center" vertical="center"/>
    </xf>
    <xf numFmtId="180" fontId="21" fillId="0" borderId="21" xfId="2" applyNumberFormat="1" applyFont="1" applyFill="1" applyBorder="1" applyAlignment="1" applyProtection="1">
      <alignment horizontal="right" vertical="center"/>
      <protection hidden="1"/>
    </xf>
    <xf numFmtId="180" fontId="21" fillId="0" borderId="28" xfId="2" applyNumberFormat="1" applyFont="1" applyFill="1" applyBorder="1" applyAlignment="1" applyProtection="1">
      <alignment horizontal="right" vertical="center"/>
      <protection hidden="1"/>
    </xf>
    <xf numFmtId="180" fontId="21" fillId="0" borderId="32" xfId="2" applyNumberFormat="1" applyFont="1" applyFill="1" applyBorder="1" applyAlignment="1" applyProtection="1">
      <alignment horizontal="right" vertical="center"/>
      <protection hidden="1"/>
    </xf>
    <xf numFmtId="38" fontId="21" fillId="0" borderId="28" xfId="2" applyFont="1" applyFill="1" applyBorder="1" applyAlignment="1" applyProtection="1">
      <alignment horizontal="right" vertical="center"/>
      <protection hidden="1"/>
    </xf>
    <xf numFmtId="38" fontId="21" fillId="0" borderId="32" xfId="2" applyFont="1" applyFill="1" applyBorder="1" applyAlignment="1" applyProtection="1">
      <alignment horizontal="right" vertical="center"/>
      <protection hidden="1"/>
    </xf>
    <xf numFmtId="0" fontId="21" fillId="0" borderId="21" xfId="0" applyFont="1" applyBorder="1" applyAlignment="1" applyProtection="1">
      <alignment horizontal="left" vertical="center" shrinkToFit="1"/>
      <protection hidden="1"/>
    </xf>
    <xf numFmtId="0" fontId="21" fillId="0" borderId="28" xfId="0" applyFont="1" applyBorder="1" applyAlignment="1" applyProtection="1">
      <alignment horizontal="left" vertical="center" shrinkToFit="1"/>
      <protection hidden="1"/>
    </xf>
    <xf numFmtId="0" fontId="21" fillId="0" borderId="32" xfId="0" applyFont="1" applyBorder="1" applyAlignment="1" applyProtection="1">
      <alignment horizontal="left" vertical="center" shrinkToFit="1"/>
      <protection hidden="1"/>
    </xf>
    <xf numFmtId="0" fontId="21" fillId="0" borderId="21" xfId="0" applyFont="1" applyBorder="1" applyAlignment="1" applyProtection="1">
      <alignment horizontal="left" vertical="center"/>
      <protection hidden="1"/>
    </xf>
    <xf numFmtId="0" fontId="21" fillId="0" borderId="28" xfId="0" applyFont="1" applyBorder="1" applyAlignment="1" applyProtection="1">
      <alignment horizontal="left" vertical="center"/>
      <protection hidden="1"/>
    </xf>
    <xf numFmtId="0" fontId="21" fillId="0" borderId="28" xfId="0" applyFont="1" applyBorder="1" applyAlignment="1" applyProtection="1">
      <alignment horizontal="distributed" vertical="center" indent="1"/>
      <protection hidden="1"/>
    </xf>
    <xf numFmtId="0" fontId="21" fillId="0" borderId="32" xfId="0" applyFont="1" applyBorder="1" applyAlignment="1" applyProtection="1">
      <alignment horizontal="distributed" vertical="center" indent="1"/>
      <protection hidden="1"/>
    </xf>
    <xf numFmtId="0" fontId="21" fillId="0" borderId="0" xfId="0" applyFont="1" applyAlignment="1" applyProtection="1">
      <alignment horizontal="left" vertical="center"/>
      <protection hidden="1"/>
    </xf>
    <xf numFmtId="0" fontId="21" fillId="0" borderId="0" xfId="0" applyFont="1" applyAlignment="1" applyProtection="1">
      <alignment horizontal="center" vertical="center" shrinkToFit="1"/>
      <protection locked="0"/>
    </xf>
    <xf numFmtId="0" fontId="21" fillId="0" borderId="59" xfId="0" applyFont="1" applyBorder="1" applyAlignment="1" applyProtection="1">
      <alignment horizontal="left" vertical="center"/>
      <protection locked="0"/>
    </xf>
    <xf numFmtId="0" fontId="22" fillId="0" borderId="59" xfId="0" applyFont="1" applyBorder="1" applyAlignment="1" applyProtection="1">
      <alignment horizontal="left" vertical="center"/>
      <protection locked="0"/>
    </xf>
    <xf numFmtId="38" fontId="21" fillId="0" borderId="21" xfId="2" applyFont="1" applyFill="1" applyBorder="1" applyAlignment="1" applyProtection="1">
      <alignment horizontal="right" vertical="center"/>
      <protection hidden="1"/>
    </xf>
    <xf numFmtId="0" fontId="21" fillId="0" borderId="0" xfId="0" applyFont="1" applyAlignment="1" applyProtection="1">
      <alignment horizontal="left" vertical="center"/>
      <protection locked="0"/>
    </xf>
    <xf numFmtId="0" fontId="22" fillId="0" borderId="28" xfId="0" applyFont="1" applyBorder="1" applyAlignment="1" applyProtection="1">
      <alignment vertical="center"/>
      <protection hidden="1"/>
    </xf>
    <xf numFmtId="0" fontId="22" fillId="0" borderId="32" xfId="0" applyFont="1" applyBorder="1" applyAlignment="1" applyProtection="1">
      <alignment vertical="center"/>
      <protection hidden="1"/>
    </xf>
    <xf numFmtId="38" fontId="21" fillId="0" borderId="21" xfId="2" applyFont="1" applyFill="1" applyBorder="1" applyAlignment="1" applyProtection="1">
      <alignment horizontal="center" vertical="center"/>
      <protection hidden="1"/>
    </xf>
    <xf numFmtId="38" fontId="21" fillId="0" borderId="28" xfId="2" applyFont="1" applyFill="1" applyBorder="1" applyAlignment="1" applyProtection="1">
      <alignment horizontal="center" vertical="center"/>
      <protection hidden="1"/>
    </xf>
    <xf numFmtId="38" fontId="21" fillId="0" borderId="32" xfId="2" applyFont="1" applyFill="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0" fontId="21" fillId="0" borderId="23" xfId="0" applyFont="1" applyBorder="1" applyAlignment="1" applyProtection="1">
      <alignment horizontal="center" vertical="center"/>
      <protection hidden="1"/>
    </xf>
    <xf numFmtId="0" fontId="21" fillId="0" borderId="62" xfId="0" applyFont="1" applyBorder="1" applyAlignment="1" applyProtection="1">
      <alignment horizontal="center" vertical="center"/>
      <protection hidden="1"/>
    </xf>
    <xf numFmtId="0" fontId="21" fillId="0" borderId="60" xfId="0" applyFont="1" applyBorder="1" applyAlignment="1" applyProtection="1">
      <alignment horizontal="center" vertical="center"/>
      <protection hidden="1"/>
    </xf>
    <xf numFmtId="0" fontId="21" fillId="0" borderId="23" xfId="0" applyFont="1" applyBorder="1" applyAlignment="1" applyProtection="1">
      <alignment horizontal="distributed" vertical="center"/>
      <protection hidden="1"/>
    </xf>
    <xf numFmtId="0" fontId="22" fillId="0" borderId="24" xfId="0" applyFont="1" applyBorder="1" applyAlignment="1" applyProtection="1">
      <alignment vertical="center"/>
      <protection hidden="1"/>
    </xf>
    <xf numFmtId="0" fontId="22" fillId="0" borderId="25" xfId="0" applyFont="1" applyBorder="1" applyAlignment="1" applyProtection="1">
      <alignment vertical="center"/>
      <protection hidden="1"/>
    </xf>
    <xf numFmtId="0" fontId="21" fillId="0" borderId="23" xfId="0" applyFont="1" applyBorder="1" applyAlignment="1" applyProtection="1">
      <alignment horizontal="center" vertical="center" textRotation="255" shrinkToFit="1"/>
      <protection hidden="1"/>
    </xf>
    <xf numFmtId="0" fontId="21" fillId="0" borderId="25" xfId="0" applyFont="1" applyBorder="1" applyAlignment="1" applyProtection="1">
      <alignment horizontal="center" vertical="center" textRotation="255" shrinkToFit="1"/>
      <protection hidden="1"/>
    </xf>
    <xf numFmtId="0" fontId="21" fillId="0" borderId="26" xfId="0" applyFont="1" applyBorder="1" applyAlignment="1" applyProtection="1">
      <alignment horizontal="center" vertical="center" textRotation="255" shrinkToFit="1"/>
      <protection hidden="1"/>
    </xf>
    <xf numFmtId="0" fontId="21" fillId="0" borderId="27" xfId="0" applyFont="1" applyBorder="1" applyAlignment="1" applyProtection="1">
      <alignment horizontal="center" vertical="center" textRotation="255" shrinkToFit="1"/>
      <protection hidden="1"/>
    </xf>
    <xf numFmtId="0" fontId="21" fillId="0" borderId="62" xfId="0" applyFont="1" applyBorder="1" applyAlignment="1" applyProtection="1">
      <alignment horizontal="center" vertical="center" textRotation="255" shrinkToFit="1"/>
      <protection hidden="1"/>
    </xf>
    <xf numFmtId="0" fontId="21" fillId="0" borderId="60" xfId="0" applyFont="1" applyBorder="1" applyAlignment="1" applyProtection="1">
      <alignment horizontal="center" vertical="center" textRotation="255" shrinkToFit="1"/>
      <protection hidden="1"/>
    </xf>
    <xf numFmtId="0" fontId="21" fillId="0" borderId="26" xfId="0" applyFont="1" applyBorder="1" applyAlignment="1" applyProtection="1">
      <alignment horizontal="center" vertical="center"/>
      <protection hidden="1"/>
    </xf>
    <xf numFmtId="0" fontId="21" fillId="0" borderId="27" xfId="0" applyFont="1" applyBorder="1" applyAlignment="1" applyProtection="1">
      <alignment horizontal="center" vertical="center"/>
      <protection hidden="1"/>
    </xf>
    <xf numFmtId="0" fontId="21" fillId="0" borderId="59" xfId="0" applyFont="1" applyBorder="1" applyAlignment="1" applyProtection="1">
      <alignment horizontal="center" vertical="center"/>
      <protection hidden="1"/>
    </xf>
    <xf numFmtId="0" fontId="22" fillId="0" borderId="28" xfId="0" applyFont="1" applyBorder="1" applyAlignment="1" applyProtection="1">
      <alignment vertical="center" shrinkToFit="1"/>
      <protection hidden="1"/>
    </xf>
    <xf numFmtId="0" fontId="22" fillId="0" borderId="32" xfId="0" applyFont="1" applyBorder="1" applyAlignment="1" applyProtection="1">
      <alignment vertical="center" shrinkToFit="1"/>
      <protection hidden="1"/>
    </xf>
    <xf numFmtId="0" fontId="21" fillId="0" borderId="0" xfId="0" applyFont="1" applyAlignment="1" applyProtection="1">
      <alignment horizontal="center" vertical="center" wrapText="1"/>
      <protection hidden="1"/>
    </xf>
    <xf numFmtId="0" fontId="21" fillId="0" borderId="0" xfId="0" applyFont="1" applyAlignment="1" applyProtection="1">
      <alignment horizontal="distributed" vertical="center"/>
      <protection hidden="1"/>
    </xf>
    <xf numFmtId="0" fontId="22" fillId="0" borderId="0" xfId="0" applyFont="1" applyAlignment="1" applyProtection="1">
      <alignment vertical="center"/>
      <protection hidden="1"/>
    </xf>
    <xf numFmtId="0" fontId="21" fillId="0" borderId="23" xfId="0" applyFont="1" applyBorder="1" applyAlignment="1" applyProtection="1">
      <alignment horizontal="distributed" vertical="center" indent="2"/>
      <protection hidden="1"/>
    </xf>
    <xf numFmtId="0" fontId="21" fillId="0" borderId="24" xfId="0" applyFont="1" applyBorder="1" applyAlignment="1" applyProtection="1">
      <alignment horizontal="distributed" vertical="center" indent="2"/>
      <protection hidden="1"/>
    </xf>
    <xf numFmtId="0" fontId="21" fillId="0" borderId="25" xfId="0" applyFont="1" applyBorder="1" applyAlignment="1" applyProtection="1">
      <alignment horizontal="distributed" vertical="center" indent="2"/>
      <protection hidden="1"/>
    </xf>
    <xf numFmtId="0" fontId="21" fillId="0" borderId="62" xfId="0" applyFont="1" applyBorder="1" applyAlignment="1" applyProtection="1">
      <alignment horizontal="distributed" vertical="center" indent="2"/>
      <protection hidden="1"/>
    </xf>
    <xf numFmtId="0" fontId="21" fillId="0" borderId="59" xfId="0" applyFont="1" applyBorder="1" applyAlignment="1" applyProtection="1">
      <alignment horizontal="distributed" vertical="center" indent="2"/>
      <protection hidden="1"/>
    </xf>
    <xf numFmtId="0" fontId="21" fillId="0" borderId="60" xfId="0" applyFont="1" applyBorder="1" applyAlignment="1" applyProtection="1">
      <alignment horizontal="distributed" vertical="center" indent="2"/>
      <protection hidden="1"/>
    </xf>
    <xf numFmtId="186" fontId="21" fillId="0" borderId="0" xfId="0" applyNumberFormat="1" applyFont="1" applyAlignment="1" applyProtection="1">
      <alignment horizontal="right" vertical="center" shrinkToFit="1"/>
      <protection hidden="1"/>
    </xf>
    <xf numFmtId="0" fontId="21" fillId="0" borderId="0" xfId="0" applyFont="1" applyAlignment="1" applyProtection="1">
      <alignment horizontal="right" vertical="center" shrinkToFit="1"/>
      <protection hidden="1"/>
    </xf>
    <xf numFmtId="0" fontId="21" fillId="0" borderId="0" xfId="0" quotePrefix="1" applyFont="1" applyAlignment="1" applyProtection="1">
      <alignment horizontal="right" vertical="center" shrinkToFit="1"/>
      <protection hidden="1"/>
    </xf>
    <xf numFmtId="0" fontId="21" fillId="0" borderId="23" xfId="0" applyFont="1" applyBorder="1" applyAlignment="1" applyProtection="1">
      <alignment horizontal="center" vertical="center" shrinkToFit="1"/>
      <protection hidden="1"/>
    </xf>
    <xf numFmtId="0" fontId="21" fillId="0" borderId="24" xfId="0" applyFont="1" applyBorder="1" applyAlignment="1" applyProtection="1">
      <alignment horizontal="center" vertical="center" shrinkToFit="1"/>
      <protection hidden="1"/>
    </xf>
    <xf numFmtId="0" fontId="21" fillId="0" borderId="25" xfId="0" applyFont="1" applyBorder="1" applyAlignment="1" applyProtection="1">
      <alignment horizontal="center" vertical="center" shrinkToFit="1"/>
      <protection hidden="1"/>
    </xf>
    <xf numFmtId="0" fontId="21" fillId="0" borderId="26" xfId="0" applyFont="1" applyBorder="1" applyAlignment="1" applyProtection="1">
      <alignment horizontal="center" vertical="center" shrinkToFit="1"/>
      <protection hidden="1"/>
    </xf>
    <xf numFmtId="0" fontId="21" fillId="0" borderId="0" xfId="0" applyFont="1" applyAlignment="1" applyProtection="1">
      <alignment horizontal="center" vertical="center" shrinkToFit="1"/>
      <protection hidden="1"/>
    </xf>
    <xf numFmtId="0" fontId="21" fillId="0" borderId="27" xfId="0" applyFont="1" applyBorder="1" applyAlignment="1" applyProtection="1">
      <alignment horizontal="center" vertical="center" shrinkToFit="1"/>
      <protection hidden="1"/>
    </xf>
    <xf numFmtId="0" fontId="21" fillId="0" borderId="62" xfId="0" applyFont="1" applyBorder="1" applyAlignment="1" applyProtection="1">
      <alignment horizontal="center" vertical="center" shrinkToFit="1"/>
      <protection hidden="1"/>
    </xf>
    <xf numFmtId="0" fontId="21" fillId="0" borderId="59" xfId="0" applyFont="1" applyBorder="1" applyAlignment="1" applyProtection="1">
      <alignment horizontal="center" vertical="center" shrinkToFit="1"/>
      <protection hidden="1"/>
    </xf>
    <xf numFmtId="0" fontId="21" fillId="0" borderId="60" xfId="0" applyFont="1" applyBorder="1" applyAlignment="1" applyProtection="1">
      <alignment horizontal="center" vertical="center" shrinkToFit="1"/>
      <protection hidden="1"/>
    </xf>
    <xf numFmtId="0" fontId="21" fillId="0" borderId="0" xfId="0" applyFont="1" applyAlignment="1" applyProtection="1">
      <alignment horizontal="left" vertical="center" shrinkToFit="1"/>
      <protection hidden="1"/>
    </xf>
    <xf numFmtId="0" fontId="21" fillId="0" borderId="0" xfId="0" applyFont="1" applyAlignment="1" applyProtection="1">
      <alignment vertical="center" shrinkToFit="1"/>
      <protection hidden="1"/>
    </xf>
    <xf numFmtId="0" fontId="0" fillId="0" borderId="0" xfId="0" applyAlignment="1" applyProtection="1">
      <alignment vertical="center" shrinkToFit="1"/>
      <protection hidden="1"/>
    </xf>
    <xf numFmtId="0" fontId="5" fillId="0" borderId="0" xfId="0" applyFont="1" applyAlignment="1" applyProtection="1">
      <alignment horizontal="distributed" vertical="center"/>
      <protection hidden="1"/>
    </xf>
    <xf numFmtId="0" fontId="8" fillId="0" borderId="0" xfId="0" applyFont="1" applyProtection="1">
      <protection hidden="1"/>
    </xf>
    <xf numFmtId="190" fontId="21" fillId="0" borderId="0" xfId="0" applyNumberFormat="1" applyFont="1" applyAlignment="1" applyProtection="1">
      <alignment horizontal="center" vertical="center"/>
      <protection hidden="1"/>
    </xf>
    <xf numFmtId="190" fontId="21" fillId="0" borderId="0" xfId="0" applyNumberFormat="1" applyFont="1" applyAlignment="1" applyProtection="1">
      <alignment horizontal="left" vertical="center"/>
      <protection hidden="1"/>
    </xf>
    <xf numFmtId="38" fontId="21" fillId="0" borderId="0" xfId="2" applyFont="1" applyFill="1" applyAlignment="1" applyProtection="1">
      <alignment horizontal="center" vertical="center"/>
      <protection hidden="1"/>
    </xf>
    <xf numFmtId="0" fontId="21" fillId="0" borderId="21" xfId="0" applyFont="1" applyBorder="1" applyAlignment="1" applyProtection="1">
      <alignment horizontal="center" vertical="center" shrinkToFit="1"/>
      <protection hidden="1"/>
    </xf>
    <xf numFmtId="0" fontId="21" fillId="0" borderId="28" xfId="0" applyFont="1" applyBorder="1" applyAlignment="1" applyProtection="1">
      <alignment horizontal="center" vertical="center" shrinkToFit="1"/>
      <protection hidden="1"/>
    </xf>
    <xf numFmtId="0" fontId="21" fillId="0" borderId="32" xfId="0" applyFont="1" applyBorder="1" applyAlignment="1" applyProtection="1">
      <alignment horizontal="center" vertical="center" shrinkToFit="1"/>
      <protection hidden="1"/>
    </xf>
    <xf numFmtId="0" fontId="21" fillId="0" borderId="21" xfId="0" applyFont="1" applyBorder="1" applyAlignment="1" applyProtection="1">
      <alignment horizontal="distributed" vertical="center" indent="2"/>
      <protection hidden="1"/>
    </xf>
    <xf numFmtId="0" fontId="21" fillId="0" borderId="28" xfId="0" applyFont="1" applyBorder="1" applyAlignment="1" applyProtection="1">
      <alignment horizontal="distributed" vertical="center" indent="2"/>
      <protection hidden="1"/>
    </xf>
    <xf numFmtId="0" fontId="21" fillId="0" borderId="32" xfId="0" applyFont="1" applyBorder="1" applyAlignment="1" applyProtection="1">
      <alignment horizontal="distributed" vertical="center" indent="2"/>
      <protection hidden="1"/>
    </xf>
    <xf numFmtId="0" fontId="22" fillId="0" borderId="0" xfId="0" applyFont="1" applyAlignment="1" applyProtection="1">
      <alignment horizontal="left" vertical="center"/>
      <protection locked="0"/>
    </xf>
    <xf numFmtId="0" fontId="21" fillId="0" borderId="21" xfId="0" applyFont="1" applyBorder="1" applyAlignment="1" applyProtection="1">
      <alignment horizontal="distributed" vertical="center" indent="3"/>
      <protection hidden="1"/>
    </xf>
    <xf numFmtId="0" fontId="21" fillId="0" borderId="28" xfId="0" applyFont="1" applyBorder="1" applyAlignment="1" applyProtection="1">
      <alignment horizontal="distributed" vertical="center" indent="3"/>
      <protection hidden="1"/>
    </xf>
    <xf numFmtId="179" fontId="21" fillId="0" borderId="0" xfId="2" applyNumberFormat="1" applyFont="1" applyFill="1" applyAlignment="1" applyProtection="1">
      <alignment horizontal="right" vertical="center" shrinkToFit="1"/>
      <protection hidden="1"/>
    </xf>
    <xf numFmtId="38" fontId="21" fillId="0" borderId="61" xfId="2" applyFont="1" applyFill="1" applyBorder="1" applyAlignment="1" applyProtection="1">
      <alignment horizontal="right" vertical="center"/>
      <protection hidden="1"/>
    </xf>
    <xf numFmtId="0" fontId="22" fillId="0" borderId="22" xfId="0" applyFont="1" applyBorder="1" applyAlignment="1" applyProtection="1">
      <alignment vertical="center"/>
      <protection hidden="1"/>
    </xf>
    <xf numFmtId="3" fontId="21" fillId="0" borderId="21" xfId="2" applyNumberFormat="1" applyFont="1" applyFill="1" applyBorder="1" applyAlignment="1" applyProtection="1">
      <alignment horizontal="right" vertical="center"/>
      <protection hidden="1"/>
    </xf>
    <xf numFmtId="3" fontId="22" fillId="0" borderId="28" xfId="2" applyNumberFormat="1" applyFont="1" applyFill="1" applyBorder="1" applyAlignment="1" applyProtection="1">
      <alignment horizontal="right" vertical="center"/>
      <protection hidden="1"/>
    </xf>
    <xf numFmtId="3" fontId="22" fillId="0" borderId="32" xfId="2" applyNumberFormat="1" applyFont="1" applyFill="1" applyBorder="1" applyAlignment="1" applyProtection="1">
      <alignment horizontal="right" vertical="center"/>
      <protection hidden="1"/>
    </xf>
    <xf numFmtId="0" fontId="21" fillId="0" borderId="61" xfId="0" applyFont="1" applyBorder="1" applyAlignment="1" applyProtection="1">
      <alignment horizontal="distributed" vertical="center" indent="2"/>
      <protection hidden="1"/>
    </xf>
    <xf numFmtId="0" fontId="22" fillId="0" borderId="61" xfId="0" applyFont="1" applyBorder="1" applyAlignment="1" applyProtection="1">
      <alignment horizontal="distributed" vertical="center" indent="2"/>
      <protection hidden="1"/>
    </xf>
    <xf numFmtId="0" fontId="22" fillId="0" borderId="22" xfId="0" applyFont="1" applyBorder="1" applyAlignment="1" applyProtection="1">
      <alignment horizontal="distributed" vertical="center" indent="2"/>
      <protection hidden="1"/>
    </xf>
    <xf numFmtId="38" fontId="21" fillId="0" borderId="61" xfId="0" applyNumberFormat="1" applyFont="1" applyBorder="1" applyAlignment="1" applyProtection="1">
      <alignment horizontal="right" vertical="center"/>
      <protection hidden="1"/>
    </xf>
    <xf numFmtId="0" fontId="22" fillId="0" borderId="28" xfId="0" applyFont="1" applyBorder="1" applyAlignment="1" applyProtection="1">
      <alignment horizontal="distributed" vertical="center" indent="2"/>
      <protection hidden="1"/>
    </xf>
    <xf numFmtId="0" fontId="22" fillId="0" borderId="32" xfId="0" applyFont="1" applyBorder="1" applyAlignment="1" applyProtection="1">
      <alignment horizontal="distributed" vertical="center" indent="2"/>
      <protection hidden="1"/>
    </xf>
    <xf numFmtId="0" fontId="21" fillId="0" borderId="21" xfId="0" applyFont="1" applyBorder="1" applyAlignment="1" applyProtection="1">
      <alignment vertical="center" shrinkToFit="1"/>
      <protection hidden="1"/>
    </xf>
    <xf numFmtId="0" fontId="22" fillId="0" borderId="28" xfId="0" applyFont="1" applyBorder="1" applyAlignment="1" applyProtection="1">
      <alignment shrinkToFit="1"/>
      <protection hidden="1"/>
    </xf>
    <xf numFmtId="0" fontId="22" fillId="0" borderId="0" xfId="0" applyFont="1" applyAlignment="1" applyProtection="1">
      <alignment horizontal="right" vertical="center"/>
      <protection hidden="1"/>
    </xf>
    <xf numFmtId="0" fontId="21" fillId="0" borderId="23" xfId="0" applyFont="1" applyBorder="1" applyAlignment="1" applyProtection="1">
      <alignment horizontal="center" vertical="center" wrapText="1" shrinkToFit="1"/>
      <protection hidden="1"/>
    </xf>
    <xf numFmtId="38" fontId="21" fillId="0" borderId="0" xfId="2" applyFont="1" applyFill="1" applyAlignment="1" applyProtection="1">
      <alignment horizontal="right" vertical="center" shrinkToFit="1"/>
      <protection hidden="1"/>
    </xf>
    <xf numFmtId="0" fontId="22" fillId="0" borderId="0" xfId="0" applyFont="1" applyAlignment="1" applyProtection="1">
      <alignment horizontal="center" vertical="center" shrinkToFit="1"/>
      <protection hidden="1"/>
    </xf>
    <xf numFmtId="38" fontId="18" fillId="0" borderId="11" xfId="2" applyFont="1" applyFill="1" applyBorder="1" applyAlignment="1" applyProtection="1">
      <alignment horizontal="distributed" vertical="center"/>
      <protection hidden="1"/>
    </xf>
    <xf numFmtId="38" fontId="18" fillId="0" borderId="9" xfId="2" applyFont="1" applyFill="1" applyBorder="1" applyAlignment="1" applyProtection="1">
      <alignment horizontal="distributed" vertical="center"/>
      <protection hidden="1"/>
    </xf>
    <xf numFmtId="38" fontId="18" fillId="0" borderId="17" xfId="2" applyFont="1" applyFill="1" applyBorder="1" applyAlignment="1" applyProtection="1">
      <alignment horizontal="distributed" vertical="center"/>
      <protection hidden="1"/>
    </xf>
    <xf numFmtId="38" fontId="18" fillId="0" borderId="18" xfId="2" applyFont="1" applyFill="1" applyBorder="1" applyAlignment="1" applyProtection="1">
      <alignment horizontal="distributed" vertical="center"/>
      <protection hidden="1"/>
    </xf>
    <xf numFmtId="38" fontId="18" fillId="0" borderId="18" xfId="2" applyFont="1" applyFill="1" applyBorder="1" applyAlignment="1" applyProtection="1">
      <alignment vertical="center"/>
      <protection hidden="1"/>
    </xf>
    <xf numFmtId="38" fontId="18" fillId="0" borderId="11" xfId="2" applyFont="1" applyFill="1" applyBorder="1" applyAlignment="1" applyProtection="1">
      <alignment vertical="center"/>
      <protection hidden="1"/>
    </xf>
    <xf numFmtId="38" fontId="18" fillId="0" borderId="48" xfId="2" applyFont="1" applyFill="1" applyBorder="1" applyAlignment="1" applyProtection="1">
      <alignment horizontal="distributed" vertical="center" indent="2"/>
      <protection hidden="1"/>
    </xf>
    <xf numFmtId="38" fontId="18" fillId="0" borderId="58" xfId="2" applyFont="1" applyFill="1" applyBorder="1" applyAlignment="1" applyProtection="1">
      <alignment horizontal="distributed" vertical="center" indent="2"/>
      <protection hidden="1"/>
    </xf>
    <xf numFmtId="38" fontId="18" fillId="0" borderId="49" xfId="2" applyFont="1" applyFill="1" applyBorder="1" applyAlignment="1" applyProtection="1">
      <alignment horizontal="distributed" vertical="center" indent="2"/>
      <protection hidden="1"/>
    </xf>
    <xf numFmtId="38" fontId="18" fillId="3" borderId="48" xfId="2" applyFont="1" applyFill="1" applyBorder="1" applyAlignment="1" applyProtection="1">
      <alignment horizontal="distributed" vertical="center" indent="2"/>
      <protection hidden="1"/>
    </xf>
    <xf numFmtId="38" fontId="18" fillId="3" borderId="58" xfId="2" applyFont="1" applyFill="1" applyBorder="1" applyAlignment="1" applyProtection="1">
      <alignment horizontal="distributed" vertical="center" indent="2"/>
      <protection hidden="1"/>
    </xf>
    <xf numFmtId="38" fontId="18" fillId="3" borderId="49" xfId="2" applyFont="1" applyFill="1" applyBorder="1" applyAlignment="1" applyProtection="1">
      <alignment horizontal="distributed" vertical="center" indent="2"/>
      <protection hidden="1"/>
    </xf>
    <xf numFmtId="38" fontId="18" fillId="0" borderId="9" xfId="2" applyFont="1" applyFill="1" applyBorder="1" applyAlignment="1" applyProtection="1">
      <alignment horizontal="distributed" vertical="center" indent="1"/>
      <protection hidden="1"/>
    </xf>
    <xf numFmtId="38" fontId="18" fillId="0" borderId="11" xfId="2" applyFont="1" applyFill="1" applyBorder="1" applyAlignment="1" applyProtection="1">
      <alignment horizontal="distributed" vertical="center" indent="1"/>
      <protection hidden="1"/>
    </xf>
    <xf numFmtId="38" fontId="18" fillId="0" borderId="17" xfId="2" applyFont="1" applyFill="1" applyBorder="1" applyAlignment="1" applyProtection="1">
      <alignment horizontal="distributed" vertical="center" indent="1"/>
      <protection hidden="1"/>
    </xf>
    <xf numFmtId="38" fontId="18" fillId="0" borderId="20" xfId="2" applyFont="1" applyFill="1" applyBorder="1" applyAlignment="1" applyProtection="1">
      <alignment horizontal="distributed" vertical="center"/>
      <protection hidden="1"/>
    </xf>
    <xf numFmtId="0" fontId="0" fillId="0" borderId="20" xfId="0" applyBorder="1" applyAlignment="1">
      <alignment vertical="center"/>
    </xf>
    <xf numFmtId="0" fontId="0" fillId="0" borderId="63" xfId="0" applyBorder="1" applyAlignment="1">
      <alignment vertical="center"/>
    </xf>
    <xf numFmtId="38" fontId="24" fillId="0" borderId="0" xfId="2" applyFont="1" applyFill="1" applyAlignment="1" applyProtection="1">
      <alignment horizontal="center" vertical="center"/>
      <protection hidden="1"/>
    </xf>
    <xf numFmtId="38" fontId="19" fillId="0" borderId="6" xfId="2" applyFont="1" applyFill="1" applyBorder="1" applyAlignment="1" applyProtection="1">
      <alignment horizontal="center" vertical="center" shrinkToFit="1"/>
      <protection hidden="1"/>
    </xf>
    <xf numFmtId="38" fontId="19" fillId="0" borderId="8" xfId="2" applyFont="1" applyFill="1" applyBorder="1" applyAlignment="1" applyProtection="1">
      <alignment horizontal="center" vertical="center" shrinkToFit="1"/>
      <protection hidden="1"/>
    </xf>
    <xf numFmtId="38" fontId="38" fillId="12" borderId="9" xfId="2" applyFont="1" applyFill="1" applyBorder="1" applyAlignment="1" applyProtection="1">
      <alignment horizontal="center" vertical="center" shrinkToFit="1"/>
      <protection locked="0"/>
    </xf>
    <xf numFmtId="38" fontId="38" fillId="12" borderId="17" xfId="2" applyFont="1" applyFill="1" applyBorder="1" applyAlignment="1" applyProtection="1">
      <alignment horizontal="center" vertical="center" shrinkToFit="1"/>
      <protection locked="0"/>
    </xf>
    <xf numFmtId="38" fontId="19" fillId="0" borderId="6" xfId="2" applyFont="1" applyFill="1" applyBorder="1" applyAlignment="1" applyProtection="1">
      <alignment horizontal="center" vertical="center" wrapText="1" shrinkToFit="1"/>
      <protection hidden="1"/>
    </xf>
    <xf numFmtId="0" fontId="8" fillId="0" borderId="0" xfId="0" applyFont="1" applyAlignment="1" applyProtection="1">
      <alignment horizontal="center" vertical="center" wrapText="1"/>
      <protection hidden="1"/>
    </xf>
    <xf numFmtId="0" fontId="8" fillId="0" borderId="0" xfId="0" applyFont="1"/>
    <xf numFmtId="0" fontId="8" fillId="0" borderId="0" xfId="0" applyFont="1" applyAlignment="1" applyProtection="1">
      <alignment horizontal="distributed" vertical="center"/>
      <protection hidden="1"/>
    </xf>
    <xf numFmtId="55" fontId="14" fillId="0" borderId="0" xfId="0" applyNumberFormat="1" applyFont="1" applyAlignment="1" applyProtection="1">
      <alignment horizontal="center"/>
      <protection hidden="1"/>
    </xf>
    <xf numFmtId="0" fontId="14" fillId="0" borderId="0" xfId="0" applyFont="1" applyAlignment="1" applyProtection="1">
      <alignment horizontal="center"/>
      <protection hidden="1"/>
    </xf>
    <xf numFmtId="0" fontId="8" fillId="0" borderId="0" xfId="0" applyFont="1" applyAlignment="1" applyProtection="1">
      <alignment vertical="center" shrinkToFit="1"/>
      <protection hidden="1"/>
    </xf>
    <xf numFmtId="55" fontId="8" fillId="0" borderId="0" xfId="2" applyNumberFormat="1" applyFont="1" applyAlignment="1">
      <alignment horizontal="center"/>
    </xf>
    <xf numFmtId="0" fontId="8" fillId="0" borderId="0" xfId="2" applyNumberFormat="1" applyFont="1" applyAlignment="1">
      <alignment horizontal="center"/>
    </xf>
    <xf numFmtId="38" fontId="8" fillId="0" borderId="0" xfId="2" applyFont="1" applyAlignment="1" applyProtection="1">
      <alignment horizontal="center"/>
      <protection hidden="1"/>
    </xf>
    <xf numFmtId="40" fontId="8" fillId="0" borderId="0" xfId="2" applyNumberFormat="1" applyFont="1" applyAlignment="1" applyProtection="1">
      <alignment horizontal="center"/>
      <protection hidden="1"/>
    </xf>
    <xf numFmtId="38" fontId="14" fillId="0" borderId="0" xfId="2" applyFont="1" applyAlignment="1" applyProtection="1">
      <alignment horizontal="center"/>
      <protection hidden="1"/>
    </xf>
  </cellXfs>
  <cellStyles count="4">
    <cellStyle name="ハイパーリンク" xfId="1" builtinId="8"/>
    <cellStyle name="桁区切り" xfId="2" builtinId="6"/>
    <cellStyle name="通貨" xfId="3" builtinId="7"/>
    <cellStyle name="標準" xfId="0" builtinId="0"/>
  </cellStyles>
  <dxfs count="42">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FFCC"/>
        </patternFill>
      </fill>
    </dxf>
    <dxf>
      <fill>
        <patternFill>
          <bgColor rgb="FFFF7C80"/>
        </patternFill>
      </fill>
    </dxf>
    <dxf>
      <fill>
        <patternFill>
          <bgColor rgb="FFFFFFCC"/>
        </patternFill>
      </fill>
    </dxf>
    <dxf>
      <fill>
        <patternFill>
          <bgColor rgb="FFFF7C80"/>
        </patternFill>
      </fill>
    </dxf>
    <dxf>
      <fill>
        <patternFill>
          <bgColor rgb="FFFFFFCC"/>
        </patternFill>
      </fill>
    </dxf>
    <dxf>
      <fill>
        <patternFill>
          <bgColor rgb="FFFF7C80"/>
        </patternFill>
      </fill>
    </dxf>
    <dxf>
      <fill>
        <patternFill>
          <bgColor rgb="FFFFFFCC"/>
        </patternFill>
      </fill>
    </dxf>
    <dxf>
      <fill>
        <patternFill>
          <bgColor rgb="FFFF7C80"/>
        </patternFill>
      </fill>
    </dxf>
    <dxf>
      <fill>
        <patternFill>
          <bgColor rgb="FFFFFFCC"/>
        </patternFill>
      </fill>
    </dxf>
    <dxf>
      <fill>
        <patternFill>
          <bgColor rgb="FFFF7C80"/>
        </patternFill>
      </fill>
    </dxf>
    <dxf>
      <fill>
        <patternFill>
          <bgColor rgb="FFFFFFCC"/>
        </patternFill>
      </fill>
    </dxf>
    <dxf>
      <fill>
        <patternFill>
          <bgColor rgb="FFFF7C80"/>
        </patternFill>
      </fill>
    </dxf>
    <dxf>
      <fill>
        <patternFill>
          <bgColor rgb="FFFFFFCC"/>
        </patternFill>
      </fill>
    </dxf>
    <dxf>
      <fill>
        <patternFill>
          <bgColor rgb="FFFF7C80"/>
        </patternFill>
      </fill>
    </dxf>
    <dxf>
      <fill>
        <patternFill>
          <bgColor rgb="FFFFFFCC"/>
        </patternFill>
      </fill>
    </dxf>
    <dxf>
      <fill>
        <patternFill>
          <bgColor rgb="FFFF7C80"/>
        </patternFill>
      </fill>
    </dxf>
    <dxf>
      <fill>
        <patternFill>
          <bgColor rgb="FFFFFFCC"/>
        </patternFill>
      </fill>
    </dxf>
    <dxf>
      <fill>
        <patternFill>
          <bgColor rgb="FFFF7C80"/>
        </patternFill>
      </fill>
    </dxf>
    <dxf>
      <fill>
        <patternFill>
          <bgColor rgb="FFFFFFCC"/>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Drop" dropLines="0" dropStyle="combo" dx="39" noThreeD="1" sel="0" val="0"/>
</file>

<file path=xl/ctrlProps/ctrlProp10.xml><?xml version="1.0" encoding="utf-8"?>
<formControlPr xmlns="http://schemas.microsoft.com/office/spreadsheetml/2009/9/main" objectType="Drop" dropLines="3" dropStyle="combo" dx="39" fmlaLink="$AM$5" fmlaRange="$AN$58:$AN$60" sel="1" val="0"/>
</file>

<file path=xl/ctrlProps/ctrlProp11.xml><?xml version="1.0" encoding="utf-8"?>
<formControlPr xmlns="http://schemas.microsoft.com/office/spreadsheetml/2009/9/main" objectType="Drop" dropLines="3" dropStyle="combo" dx="39" fmlaLink="$AM$6" fmlaRange="$AN$58:$AN$60" sel="1" val="0"/>
</file>

<file path=xl/ctrlProps/ctrlProp12.xml><?xml version="1.0" encoding="utf-8"?>
<formControlPr xmlns="http://schemas.microsoft.com/office/spreadsheetml/2009/9/main" objectType="Drop" dropLines="2" dropStyle="combo" dx="39" fmlaLink="$AM$8" fmlaRange="$AN$58:$AN$59" sel="1" val="0"/>
</file>

<file path=xl/ctrlProps/ctrlProp13.xml><?xml version="1.0" encoding="utf-8"?>
<formControlPr xmlns="http://schemas.microsoft.com/office/spreadsheetml/2009/9/main" objectType="Drop" dropLines="2" dropStyle="combo" dx="39" fmlaLink="$AM$9" fmlaRange="$AN$58:$AN$59" sel="1" val="0"/>
</file>

<file path=xl/ctrlProps/ctrlProp14.xml><?xml version="1.0" encoding="utf-8"?>
<formControlPr xmlns="http://schemas.microsoft.com/office/spreadsheetml/2009/9/main" objectType="Drop" dropLines="2" dropStyle="combo" dx="39" fmlaLink="$AM$10" fmlaRange="$AN$58:$AN$59" sel="1" val="0"/>
</file>

<file path=xl/ctrlProps/ctrlProp15.xml><?xml version="1.0" encoding="utf-8"?>
<formControlPr xmlns="http://schemas.microsoft.com/office/spreadsheetml/2009/9/main" objectType="Drop" dropLines="2" dropStyle="combo" dx="39" fmlaLink="$AM$28" fmlaRange="$AN$58:$AN$59" sel="1" val="0"/>
</file>

<file path=xl/ctrlProps/ctrlProp16.xml><?xml version="1.0" encoding="utf-8"?>
<formControlPr xmlns="http://schemas.microsoft.com/office/spreadsheetml/2009/9/main" objectType="Drop" dropLines="2" dropStyle="combo" dx="39" fmlaLink="$AM$31" fmlaRange="$AN$58:$AN$59" sel="2" val="0"/>
</file>

<file path=xl/ctrlProps/ctrlProp17.xml><?xml version="1.0" encoding="utf-8"?>
<formControlPr xmlns="http://schemas.microsoft.com/office/spreadsheetml/2009/9/main" objectType="Drop" dropLines="2" dropStyle="combo" dx="39" fmlaLink="$AM$32" fmlaRange="$AN$58:$AN$59" sel="2" val="0"/>
</file>

<file path=xl/ctrlProps/ctrlProp18.xml><?xml version="1.0" encoding="utf-8"?>
<formControlPr xmlns="http://schemas.microsoft.com/office/spreadsheetml/2009/9/main" objectType="Drop" dropLines="4" dropStyle="combo" dx="39" fmlaLink="$AM$35" fmlaRange="$AO$58:$AO$61" sel="4" val="0"/>
</file>

<file path=xl/ctrlProps/ctrlProp19.xml><?xml version="1.0" encoding="utf-8"?>
<formControlPr xmlns="http://schemas.microsoft.com/office/spreadsheetml/2009/9/main" objectType="Drop" dropLines="2" dropStyle="combo" dx="39" fmlaLink="$AM$25" fmlaRange="$AN$58:$AN$59" sel="2" val="0"/>
</file>

<file path=xl/ctrlProps/ctrlProp2.xml><?xml version="1.0" encoding="utf-8"?>
<formControlPr xmlns="http://schemas.microsoft.com/office/spreadsheetml/2009/9/main" objectType="Drop" dropLines="2" dropStyle="combo" dx="39" fmlaLink="$AM$17" fmlaRange="$AN$17:$AN$18" sel="1" val="0"/>
</file>

<file path=xl/ctrlProps/ctrlProp20.xml><?xml version="1.0" encoding="utf-8"?>
<formControlPr xmlns="http://schemas.microsoft.com/office/spreadsheetml/2009/9/main" objectType="Drop" dropLines="2" dropStyle="combo" dx="39" fmlaLink="$AM$50" fmlaRange="$AN$58:$AN$59" sel="1" val="0"/>
</file>

<file path=xl/ctrlProps/ctrlProp21.xml><?xml version="1.0" encoding="utf-8"?>
<formControlPr xmlns="http://schemas.microsoft.com/office/spreadsheetml/2009/9/main" objectType="Drop" dropLines="3" dropStyle="combo" dx="39" fmlaLink="$AM$7" fmlaRange="$AN$58:$AN$60" sel="1" val="0"/>
</file>

<file path=xl/ctrlProps/ctrlProp22.xml><?xml version="1.0" encoding="utf-8"?>
<formControlPr xmlns="http://schemas.microsoft.com/office/spreadsheetml/2009/9/main" objectType="Drop" dropLines="2" dropStyle="combo" dx="39" fmlaLink="$AM$11" fmlaRange="$AQ$58:$AQ$59" sel="1" val="0"/>
</file>

<file path=xl/ctrlProps/ctrlProp23.xml><?xml version="1.0" encoding="utf-8"?>
<formControlPr xmlns="http://schemas.microsoft.com/office/spreadsheetml/2009/9/main" objectType="Drop" dropLines="2" dropStyle="combo" dx="39" fmlaLink="$AM$12" fmlaRange="$AR$58:$AR$59" sel="1" val="0"/>
</file>

<file path=xl/ctrlProps/ctrlProp24.xml><?xml version="1.0" encoding="utf-8"?>
<formControlPr xmlns="http://schemas.microsoft.com/office/spreadsheetml/2009/9/main" objectType="Drop" dropLines="5" dropStyle="combo" dx="39" fmlaLink="$AM$18" fmlaRange="$AN$64:$AN$68" sel="1" val="0"/>
</file>

<file path=xl/ctrlProps/ctrlProp25.xml><?xml version="1.0" encoding="utf-8"?>
<formControlPr xmlns="http://schemas.microsoft.com/office/spreadsheetml/2009/9/main" objectType="Drop" dropLines="4" dropStyle="combo" dx="39" fmlaLink="$AM$19" fmlaRange="$AN$70:$AN$73" sel="3" val="0"/>
</file>

<file path=xl/ctrlProps/ctrlProp26.xml><?xml version="1.0" encoding="utf-8"?>
<formControlPr xmlns="http://schemas.microsoft.com/office/spreadsheetml/2009/9/main" objectType="Drop" dropLines="2" dropStyle="combo" dx="39" fmlaLink="$AM$20" fmlaRange="$AN$75:$AN$76" sel="1" val="0"/>
</file>

<file path=xl/ctrlProps/ctrlProp27.xml><?xml version="1.0" encoding="utf-8"?>
<formControlPr xmlns="http://schemas.microsoft.com/office/spreadsheetml/2009/9/main" objectType="Drop" dropLines="3" dropStyle="combo" dx="39" fmlaLink="$AM$21" fmlaRange="$AN$78:$AN$80" sel="1" val="0"/>
</file>

<file path=xl/ctrlProps/ctrlProp28.xml><?xml version="1.0" encoding="utf-8"?>
<formControlPr xmlns="http://schemas.microsoft.com/office/spreadsheetml/2009/9/main" objectType="Drop" dropLines="2" dropStyle="combo" dx="39" fmlaLink="$AM$48" fmlaRange="$AN$58:$AN$59" sel="1" val="0"/>
</file>

<file path=xl/ctrlProps/ctrlProp29.xml><?xml version="1.0" encoding="utf-8"?>
<formControlPr xmlns="http://schemas.microsoft.com/office/spreadsheetml/2009/9/main" objectType="Drop" dropLines="2" dropStyle="combo" dx="39" fmlaLink="$AM$49" fmlaRange="$AN$58:$AN$59" sel="1" val="0"/>
</file>

<file path=xl/ctrlProps/ctrlProp3.xml><?xml version="1.0" encoding="utf-8"?>
<formControlPr xmlns="http://schemas.microsoft.com/office/spreadsheetml/2009/9/main" objectType="Drop" dropLines="1" dropStyle="combo" dx="39" fmlaLink="$AM$15" fmlaRange="$AN$15:$AN$16" sel="1" val="0"/>
</file>

<file path=xl/ctrlProps/ctrlProp30.xml><?xml version="1.0" encoding="utf-8"?>
<formControlPr xmlns="http://schemas.microsoft.com/office/spreadsheetml/2009/9/main" objectType="Drop" dropLines="2" dropStyle="combo" dx="39" fmlaLink="社会性等!$AM$2" fmlaRange="$AN$82:$AN$83" noThreeD="1" sel="1" val="0"/>
</file>

<file path=xl/ctrlProps/ctrlProp31.xml><?xml version="1.0" encoding="utf-8"?>
<formControlPr xmlns="http://schemas.microsoft.com/office/spreadsheetml/2009/9/main" objectType="Drop" dropLines="2" dropStyle="combo" dx="39" fmlaLink="その他!$F$5" fmlaRange="その他!$G$5:$G$6" noThreeD="1" sel="2" val="0"/>
</file>

<file path=xl/ctrlProps/ctrlProp32.xml><?xml version="1.0" encoding="utf-8"?>
<formControlPr xmlns="http://schemas.microsoft.com/office/spreadsheetml/2009/9/main" objectType="Drop" dropLines="2" dropStyle="combo" dx="39" fmlaLink="その他!$H$5" fmlaRange="その他!$I$5:$I$6" noThreeD="1" sel="1" val="0"/>
</file>

<file path=xl/ctrlProps/ctrlProp4.xml><?xml version="1.0" encoding="utf-8"?>
<formControlPr xmlns="http://schemas.microsoft.com/office/spreadsheetml/2009/9/main" objectType="Drop" dropLines="20" dropStyle="combo" dx="22" fmlaLink="$AN$14" fmlaRange="その他!$C$4:$C$51" sel="1" val="0"/>
</file>

<file path=xl/ctrlProps/ctrlProp5.xml><?xml version="1.0" encoding="utf-8"?>
<formControlPr xmlns="http://schemas.microsoft.com/office/spreadsheetml/2009/9/main" objectType="Drop" dropLines="2" dropStyle="combo" dx="39" fmlaLink="その他!$F$5" fmlaRange="その他!$G$5:$G$6" noThreeD="1" sel="2" val="0"/>
</file>

<file path=xl/ctrlProps/ctrlProp6.xml><?xml version="1.0" encoding="utf-8"?>
<formControlPr xmlns="http://schemas.microsoft.com/office/spreadsheetml/2009/9/main" objectType="Drop" dropLines="2" dropStyle="combo" dx="39" fmlaLink="その他!$F$5" fmlaRange="その他!$G$5:$G$6" noThreeD="1" sel="2" val="0"/>
</file>

<file path=xl/ctrlProps/ctrlProp7.xml><?xml version="1.0" encoding="utf-8"?>
<formControlPr xmlns="http://schemas.microsoft.com/office/spreadsheetml/2009/9/main" objectType="Drop" dropLines="2" dropStyle="combo" dx="39" fmlaLink="その他!$F$5" fmlaRange="その他!$G$5:$G$6" noThreeD="1" sel="2" val="0"/>
</file>

<file path=xl/ctrlProps/ctrlProp8.xml><?xml version="1.0" encoding="utf-8"?>
<formControlPr xmlns="http://schemas.microsoft.com/office/spreadsheetml/2009/9/main" objectType="CheckBox" fmlaLink="$K$3" lockText="1" noThreeD="1"/>
</file>

<file path=xl/ctrlProps/ctrlProp9.xml><?xml version="1.0" encoding="utf-8"?>
<formControlPr xmlns="http://schemas.microsoft.com/office/spreadsheetml/2009/9/main" objectType="Drop" dropLines="2" dropStyle="combo" dx="39" fmlaLink="その他!$H$5" fmlaRange="その他!$I$5:$I$6"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14</xdr:row>
          <xdr:rowOff>9525</xdr:rowOff>
        </xdr:from>
        <xdr:to>
          <xdr:col>4</xdr:col>
          <xdr:colOff>0</xdr:colOff>
          <xdr:row>15</xdr:row>
          <xdr:rowOff>19050</xdr:rowOff>
        </xdr:to>
        <xdr:sp macro="" textlink="">
          <xdr:nvSpPr>
            <xdr:cNvPr id="723969" name="Drop Down 1" hidden="1">
              <a:extLst>
                <a:ext uri="{63B3BB69-23CF-44E3-9099-C40C66FF867C}">
                  <a14:compatExt spid="_x0000_s723969"/>
                </a:ext>
                <a:ext uri="{FF2B5EF4-FFF2-40B4-BE49-F238E27FC236}">
                  <a16:creationId xmlns:a16="http://schemas.microsoft.com/office/drawing/2014/main" id="{00000000-0008-0000-0200-0000010C0B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16</xdr:row>
          <xdr:rowOff>9525</xdr:rowOff>
        </xdr:from>
        <xdr:to>
          <xdr:col>12</xdr:col>
          <xdr:colOff>142875</xdr:colOff>
          <xdr:row>17</xdr:row>
          <xdr:rowOff>9525</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400-00000904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0</xdr:rowOff>
        </xdr:from>
        <xdr:to>
          <xdr:col>10</xdr:col>
          <xdr:colOff>171450</xdr:colOff>
          <xdr:row>15</xdr:row>
          <xdr:rowOff>228600</xdr:rowOff>
        </xdr:to>
        <xdr:sp macro="" textlink="">
          <xdr:nvSpPr>
            <xdr:cNvPr id="1179" name="Drop Down 155" hidden="1">
              <a:extLst>
                <a:ext uri="{63B3BB69-23CF-44E3-9099-C40C66FF867C}">
                  <a14:compatExt spid="_x0000_s1179"/>
                </a:ext>
                <a:ext uri="{FF2B5EF4-FFF2-40B4-BE49-F238E27FC236}">
                  <a16:creationId xmlns:a16="http://schemas.microsoft.com/office/drawing/2014/main" id="{00000000-0008-0000-0400-00009B04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9525</xdr:rowOff>
        </xdr:from>
        <xdr:to>
          <xdr:col>13</xdr:col>
          <xdr:colOff>180975</xdr:colOff>
          <xdr:row>14</xdr:row>
          <xdr:rowOff>9525</xdr:rowOff>
        </xdr:to>
        <xdr:sp macro="" textlink="">
          <xdr:nvSpPr>
            <xdr:cNvPr id="1180" name="Drop Down 156" hidden="1">
              <a:extLst>
                <a:ext uri="{63B3BB69-23CF-44E3-9099-C40C66FF867C}">
                  <a14:compatExt spid="_x0000_s1180"/>
                </a:ext>
                <a:ext uri="{FF2B5EF4-FFF2-40B4-BE49-F238E27FC236}">
                  <a16:creationId xmlns:a16="http://schemas.microsoft.com/office/drawing/2014/main" id="{00000000-0008-0000-04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2</xdr:row>
          <xdr:rowOff>0</xdr:rowOff>
        </xdr:from>
        <xdr:to>
          <xdr:col>5</xdr:col>
          <xdr:colOff>685800</xdr:colOff>
          <xdr:row>2</xdr:row>
          <xdr:rowOff>209550</xdr:rowOff>
        </xdr:to>
        <xdr:sp macro="" textlink="">
          <xdr:nvSpPr>
            <xdr:cNvPr id="22532" name="Drop Down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2</xdr:row>
          <xdr:rowOff>0</xdr:rowOff>
        </xdr:from>
        <xdr:to>
          <xdr:col>5</xdr:col>
          <xdr:colOff>685800</xdr:colOff>
          <xdr:row>2</xdr:row>
          <xdr:rowOff>209550</xdr:rowOff>
        </xdr:to>
        <xdr:sp macro="" textlink="">
          <xdr:nvSpPr>
            <xdr:cNvPr id="626689" name="Drop Down 1" hidden="1">
              <a:extLst>
                <a:ext uri="{63B3BB69-23CF-44E3-9099-C40C66FF867C}">
                  <a14:compatExt spid="_x0000_s626689"/>
                </a:ext>
                <a:ext uri="{FF2B5EF4-FFF2-40B4-BE49-F238E27FC236}">
                  <a16:creationId xmlns:a16="http://schemas.microsoft.com/office/drawing/2014/main" id="{00000000-0008-0000-0600-0000019009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2</xdr:row>
          <xdr:rowOff>0</xdr:rowOff>
        </xdr:from>
        <xdr:to>
          <xdr:col>5</xdr:col>
          <xdr:colOff>685800</xdr:colOff>
          <xdr:row>2</xdr:row>
          <xdr:rowOff>209550</xdr:rowOff>
        </xdr:to>
        <xdr:sp macro="" textlink="">
          <xdr:nvSpPr>
            <xdr:cNvPr id="24584" name="Drop Down 8" hidden="1">
              <a:extLst>
                <a:ext uri="{63B3BB69-23CF-44E3-9099-C40C66FF867C}">
                  <a14:compatExt spid="_x0000_s24584"/>
                </a:ext>
                <a:ext uri="{FF2B5EF4-FFF2-40B4-BE49-F238E27FC236}">
                  <a16:creationId xmlns:a16="http://schemas.microsoft.com/office/drawing/2014/main" id="{00000000-0008-0000-0700-00000860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xdr:row>
          <xdr:rowOff>9525</xdr:rowOff>
        </xdr:from>
        <xdr:to>
          <xdr:col>2</xdr:col>
          <xdr:colOff>1362075</xdr:colOff>
          <xdr:row>1</xdr:row>
          <xdr:rowOff>219075</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800-0000035C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xdr:row>
          <xdr:rowOff>9525</xdr:rowOff>
        </xdr:from>
        <xdr:to>
          <xdr:col>5</xdr:col>
          <xdr:colOff>95250</xdr:colOff>
          <xdr:row>2</xdr:row>
          <xdr:rowOff>219075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800-0000065C0000}"/>
                </a:ext>
              </a:extLst>
            </xdr:cNvPr>
            <xdr:cNvSpPr/>
          </xdr:nvSpPr>
          <xdr:spPr bwMode="auto">
            <a:xfrm>
              <a:off x="0" y="0"/>
              <a:ext cx="0" cy="0"/>
            </a:xfrm>
            <a:prstGeom prst="rect">
              <a:avLst/>
            </a:prstGeom>
            <a:noFill/>
            <a:ln>
              <a:noFill/>
            </a:ln>
            <a:effectLst/>
            <a:extLst>
              <a:ext uri="{909E8E84-426E-40DD-AFC4-6F175D3DCCD1}">
                <a14:hiddenFill>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14:hiddenFill>
              </a:ext>
              <a:ext uri="{91240B29-F687-4F45-9708-019B960494DF}">
                <a14:hiddenLine w="9525">
                  <a:solidFill>
                    <a:srgbClr val="EAEAEA"/>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0</xdr:colOff>
          <xdr:row>4</xdr:row>
          <xdr:rowOff>0</xdr:rowOff>
        </xdr:from>
        <xdr:to>
          <xdr:col>32</xdr:col>
          <xdr:colOff>0</xdr:colOff>
          <xdr:row>5</xdr:row>
          <xdr:rowOff>0</xdr:rowOff>
        </xdr:to>
        <xdr:sp macro="" textlink="">
          <xdr:nvSpPr>
            <xdr:cNvPr id="18436" name="Drop Down 4" hidden="1">
              <a:extLst>
                <a:ext uri="{63B3BB69-23CF-44E3-9099-C40C66FF867C}">
                  <a14:compatExt spid="_x0000_s18436"/>
                </a:ext>
                <a:ext uri="{FF2B5EF4-FFF2-40B4-BE49-F238E27FC236}">
                  <a16:creationId xmlns:a16="http://schemas.microsoft.com/office/drawing/2014/main" id="{00000000-0008-0000-0900-000004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xdr:row>
          <xdr:rowOff>0</xdr:rowOff>
        </xdr:from>
        <xdr:to>
          <xdr:col>32</xdr:col>
          <xdr:colOff>0</xdr:colOff>
          <xdr:row>6</xdr:row>
          <xdr:rowOff>0</xdr:rowOff>
        </xdr:to>
        <xdr:sp macro="" textlink="">
          <xdr:nvSpPr>
            <xdr:cNvPr id="18438" name="Drop Down 6"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xdr:row>
          <xdr:rowOff>0</xdr:rowOff>
        </xdr:from>
        <xdr:to>
          <xdr:col>32</xdr:col>
          <xdr:colOff>0</xdr:colOff>
          <xdr:row>8</xdr:row>
          <xdr:rowOff>0</xdr:rowOff>
        </xdr:to>
        <xdr:sp macro="" textlink="">
          <xdr:nvSpPr>
            <xdr:cNvPr id="18439" name="Drop Down 7" hidden="1">
              <a:extLst>
                <a:ext uri="{63B3BB69-23CF-44E3-9099-C40C66FF867C}">
                  <a14:compatExt spid="_x0000_s1843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xdr:row>
          <xdr:rowOff>0</xdr:rowOff>
        </xdr:from>
        <xdr:to>
          <xdr:col>32</xdr:col>
          <xdr:colOff>0</xdr:colOff>
          <xdr:row>9</xdr:row>
          <xdr:rowOff>0</xdr:rowOff>
        </xdr:to>
        <xdr:sp macro="" textlink="">
          <xdr:nvSpPr>
            <xdr:cNvPr id="18440" name="Drop Down 8" hidden="1">
              <a:extLst>
                <a:ext uri="{63B3BB69-23CF-44E3-9099-C40C66FF867C}">
                  <a14:compatExt spid="_x0000_s18440"/>
                </a:ext>
                <a:ext uri="{FF2B5EF4-FFF2-40B4-BE49-F238E27FC236}">
                  <a16:creationId xmlns:a16="http://schemas.microsoft.com/office/drawing/2014/main" id="{00000000-0008-0000-0900-000008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0</xdr:rowOff>
        </xdr:from>
        <xdr:to>
          <xdr:col>32</xdr:col>
          <xdr:colOff>0</xdr:colOff>
          <xdr:row>10</xdr:row>
          <xdr:rowOff>0</xdr:rowOff>
        </xdr:to>
        <xdr:sp macro="" textlink="">
          <xdr:nvSpPr>
            <xdr:cNvPr id="18441" name="Drop Down 9" hidden="1">
              <a:extLst>
                <a:ext uri="{63B3BB69-23CF-44E3-9099-C40C66FF867C}">
                  <a14:compatExt spid="_x0000_s18441"/>
                </a:ext>
                <a:ext uri="{FF2B5EF4-FFF2-40B4-BE49-F238E27FC236}">
                  <a16:creationId xmlns:a16="http://schemas.microsoft.com/office/drawing/2014/main" id="{00000000-0008-0000-0900-000009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xdr:row>
          <xdr:rowOff>0</xdr:rowOff>
        </xdr:from>
        <xdr:to>
          <xdr:col>32</xdr:col>
          <xdr:colOff>0</xdr:colOff>
          <xdr:row>28</xdr:row>
          <xdr:rowOff>0</xdr:rowOff>
        </xdr:to>
        <xdr:sp macro="" textlink="">
          <xdr:nvSpPr>
            <xdr:cNvPr id="18443" name="Drop Down 11" hidden="1">
              <a:extLst>
                <a:ext uri="{63B3BB69-23CF-44E3-9099-C40C66FF867C}">
                  <a14:compatExt spid="_x0000_s18443"/>
                </a:ext>
                <a:ext uri="{FF2B5EF4-FFF2-40B4-BE49-F238E27FC236}">
                  <a16:creationId xmlns:a16="http://schemas.microsoft.com/office/drawing/2014/main" id="{00000000-0008-0000-0900-00000B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30</xdr:row>
          <xdr:rowOff>0</xdr:rowOff>
        </xdr:from>
        <xdr:to>
          <xdr:col>32</xdr:col>
          <xdr:colOff>0</xdr:colOff>
          <xdr:row>31</xdr:row>
          <xdr:rowOff>0</xdr:rowOff>
        </xdr:to>
        <xdr:sp macro="" textlink="">
          <xdr:nvSpPr>
            <xdr:cNvPr id="18444" name="Drop Down 12" hidden="1">
              <a:extLst>
                <a:ext uri="{63B3BB69-23CF-44E3-9099-C40C66FF867C}">
                  <a14:compatExt spid="_x0000_s18444"/>
                </a:ext>
                <a:ext uri="{FF2B5EF4-FFF2-40B4-BE49-F238E27FC236}">
                  <a16:creationId xmlns:a16="http://schemas.microsoft.com/office/drawing/2014/main" id="{00000000-0008-0000-0900-00000C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31</xdr:row>
          <xdr:rowOff>0</xdr:rowOff>
        </xdr:from>
        <xdr:to>
          <xdr:col>32</xdr:col>
          <xdr:colOff>0</xdr:colOff>
          <xdr:row>32</xdr:row>
          <xdr:rowOff>0</xdr:rowOff>
        </xdr:to>
        <xdr:sp macro="" textlink="">
          <xdr:nvSpPr>
            <xdr:cNvPr id="18445" name="Drop Down 13" hidden="1">
              <a:extLst>
                <a:ext uri="{63B3BB69-23CF-44E3-9099-C40C66FF867C}">
                  <a14:compatExt spid="_x0000_s18445"/>
                </a:ext>
                <a:ext uri="{FF2B5EF4-FFF2-40B4-BE49-F238E27FC236}">
                  <a16:creationId xmlns:a16="http://schemas.microsoft.com/office/drawing/2014/main" id="{00000000-0008-0000-0900-00000D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34</xdr:row>
          <xdr:rowOff>0</xdr:rowOff>
        </xdr:from>
        <xdr:to>
          <xdr:col>32</xdr:col>
          <xdr:colOff>9525</xdr:colOff>
          <xdr:row>34</xdr:row>
          <xdr:rowOff>209550</xdr:rowOff>
        </xdr:to>
        <xdr:sp macro="" textlink="">
          <xdr:nvSpPr>
            <xdr:cNvPr id="18446" name="Drop Down 14" hidden="1">
              <a:extLst>
                <a:ext uri="{63B3BB69-23CF-44E3-9099-C40C66FF867C}">
                  <a14:compatExt spid="_x0000_s18446"/>
                </a:ext>
                <a:ext uri="{FF2B5EF4-FFF2-40B4-BE49-F238E27FC236}">
                  <a16:creationId xmlns:a16="http://schemas.microsoft.com/office/drawing/2014/main" id="{00000000-0008-0000-0900-00000E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0</xdr:rowOff>
        </xdr:from>
        <xdr:to>
          <xdr:col>32</xdr:col>
          <xdr:colOff>0</xdr:colOff>
          <xdr:row>25</xdr:row>
          <xdr:rowOff>0</xdr:rowOff>
        </xdr:to>
        <xdr:sp macro="" textlink="">
          <xdr:nvSpPr>
            <xdr:cNvPr id="18449" name="Drop Down 17" hidden="1">
              <a:extLst>
                <a:ext uri="{63B3BB69-23CF-44E3-9099-C40C66FF867C}">
                  <a14:compatExt spid="_x0000_s18449"/>
                </a:ext>
                <a:ext uri="{FF2B5EF4-FFF2-40B4-BE49-F238E27FC236}">
                  <a16:creationId xmlns:a16="http://schemas.microsoft.com/office/drawing/2014/main" id="{00000000-0008-0000-0900-000011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47</xdr:row>
          <xdr:rowOff>0</xdr:rowOff>
        </xdr:from>
        <xdr:to>
          <xdr:col>32</xdr:col>
          <xdr:colOff>0</xdr:colOff>
          <xdr:row>48</xdr:row>
          <xdr:rowOff>0</xdr:rowOff>
        </xdr:to>
        <xdr:sp macro="" textlink="">
          <xdr:nvSpPr>
            <xdr:cNvPr id="18451" name="Drop Down 19" hidden="1">
              <a:extLst>
                <a:ext uri="{63B3BB69-23CF-44E3-9099-C40C66FF867C}">
                  <a14:compatExt spid="_x0000_s18451"/>
                </a:ext>
                <a:ext uri="{FF2B5EF4-FFF2-40B4-BE49-F238E27FC236}">
                  <a16:creationId xmlns:a16="http://schemas.microsoft.com/office/drawing/2014/main" id="{00000000-0008-0000-0900-000013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49</xdr:row>
          <xdr:rowOff>0</xdr:rowOff>
        </xdr:from>
        <xdr:to>
          <xdr:col>32</xdr:col>
          <xdr:colOff>0</xdr:colOff>
          <xdr:row>50</xdr:row>
          <xdr:rowOff>0</xdr:rowOff>
        </xdr:to>
        <xdr:sp macro="" textlink="">
          <xdr:nvSpPr>
            <xdr:cNvPr id="18452" name="Drop Down 20" hidden="1">
              <a:extLst>
                <a:ext uri="{63B3BB69-23CF-44E3-9099-C40C66FF867C}">
                  <a14:compatExt spid="_x0000_s18452"/>
                </a:ext>
                <a:ext uri="{FF2B5EF4-FFF2-40B4-BE49-F238E27FC236}">
                  <a16:creationId xmlns:a16="http://schemas.microsoft.com/office/drawing/2014/main" id="{00000000-0008-0000-0900-000014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xdr:row>
          <xdr:rowOff>0</xdr:rowOff>
        </xdr:from>
        <xdr:to>
          <xdr:col>32</xdr:col>
          <xdr:colOff>0</xdr:colOff>
          <xdr:row>7</xdr:row>
          <xdr:rowOff>0</xdr:rowOff>
        </xdr:to>
        <xdr:sp macro="" textlink="">
          <xdr:nvSpPr>
            <xdr:cNvPr id="18453" name="Drop Down 21" hidden="1">
              <a:extLst>
                <a:ext uri="{63B3BB69-23CF-44E3-9099-C40C66FF867C}">
                  <a14:compatExt spid="_x0000_s18453"/>
                </a:ext>
                <a:ext uri="{FF2B5EF4-FFF2-40B4-BE49-F238E27FC236}">
                  <a16:creationId xmlns:a16="http://schemas.microsoft.com/office/drawing/2014/main" id="{00000000-0008-0000-0900-000015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0</xdr:rowOff>
        </xdr:from>
        <xdr:to>
          <xdr:col>32</xdr:col>
          <xdr:colOff>0</xdr:colOff>
          <xdr:row>11</xdr:row>
          <xdr:rowOff>0</xdr:rowOff>
        </xdr:to>
        <xdr:sp macro="" textlink="">
          <xdr:nvSpPr>
            <xdr:cNvPr id="18466" name="Drop Down 34" hidden="1">
              <a:extLst>
                <a:ext uri="{63B3BB69-23CF-44E3-9099-C40C66FF867C}">
                  <a14:compatExt spid="_x0000_s18466"/>
                </a:ext>
                <a:ext uri="{FF2B5EF4-FFF2-40B4-BE49-F238E27FC236}">
                  <a16:creationId xmlns:a16="http://schemas.microsoft.com/office/drawing/2014/main" id="{00000000-0008-0000-0900-000022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0</xdr:rowOff>
        </xdr:from>
        <xdr:to>
          <xdr:col>32</xdr:col>
          <xdr:colOff>0</xdr:colOff>
          <xdr:row>12</xdr:row>
          <xdr:rowOff>0</xdr:rowOff>
        </xdr:to>
        <xdr:sp macro="" textlink="">
          <xdr:nvSpPr>
            <xdr:cNvPr id="18467" name="Drop Down 35" hidden="1">
              <a:extLst>
                <a:ext uri="{63B3BB69-23CF-44E3-9099-C40C66FF867C}">
                  <a14:compatExt spid="_x0000_s18467"/>
                </a:ext>
                <a:ext uri="{FF2B5EF4-FFF2-40B4-BE49-F238E27FC236}">
                  <a16:creationId xmlns:a16="http://schemas.microsoft.com/office/drawing/2014/main" id="{00000000-0008-0000-0900-000023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xdr:row>
          <xdr:rowOff>0</xdr:rowOff>
        </xdr:from>
        <xdr:to>
          <xdr:col>32</xdr:col>
          <xdr:colOff>0</xdr:colOff>
          <xdr:row>18</xdr:row>
          <xdr:rowOff>0</xdr:rowOff>
        </xdr:to>
        <xdr:sp macro="" textlink="">
          <xdr:nvSpPr>
            <xdr:cNvPr id="18473" name="Drop Down 41" hidden="1">
              <a:extLst>
                <a:ext uri="{63B3BB69-23CF-44E3-9099-C40C66FF867C}">
                  <a14:compatExt spid="_x0000_s18473"/>
                </a:ext>
                <a:ext uri="{FF2B5EF4-FFF2-40B4-BE49-F238E27FC236}">
                  <a16:creationId xmlns:a16="http://schemas.microsoft.com/office/drawing/2014/main" id="{00000000-0008-0000-0900-000029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xdr:row>
          <xdr:rowOff>0</xdr:rowOff>
        </xdr:from>
        <xdr:to>
          <xdr:col>32</xdr:col>
          <xdr:colOff>0</xdr:colOff>
          <xdr:row>19</xdr:row>
          <xdr:rowOff>0</xdr:rowOff>
        </xdr:to>
        <xdr:sp macro="" textlink="">
          <xdr:nvSpPr>
            <xdr:cNvPr id="18474" name="Drop Down 42" hidden="1">
              <a:extLst>
                <a:ext uri="{63B3BB69-23CF-44E3-9099-C40C66FF867C}">
                  <a14:compatExt spid="_x0000_s18474"/>
                </a:ext>
                <a:ext uri="{FF2B5EF4-FFF2-40B4-BE49-F238E27FC236}">
                  <a16:creationId xmlns:a16="http://schemas.microsoft.com/office/drawing/2014/main" id="{00000000-0008-0000-0900-00002A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32</xdr:col>
          <xdr:colOff>0</xdr:colOff>
          <xdr:row>20</xdr:row>
          <xdr:rowOff>0</xdr:rowOff>
        </xdr:to>
        <xdr:sp macro="" textlink="">
          <xdr:nvSpPr>
            <xdr:cNvPr id="18476" name="Drop Down 44" hidden="1">
              <a:extLst>
                <a:ext uri="{63B3BB69-23CF-44E3-9099-C40C66FF867C}">
                  <a14:compatExt spid="_x0000_s18476"/>
                </a:ext>
                <a:ext uri="{FF2B5EF4-FFF2-40B4-BE49-F238E27FC236}">
                  <a16:creationId xmlns:a16="http://schemas.microsoft.com/office/drawing/2014/main" id="{00000000-0008-0000-0900-00002C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xdr:row>
          <xdr:rowOff>0</xdr:rowOff>
        </xdr:from>
        <xdr:to>
          <xdr:col>32</xdr:col>
          <xdr:colOff>0</xdr:colOff>
          <xdr:row>21</xdr:row>
          <xdr:rowOff>0</xdr:rowOff>
        </xdr:to>
        <xdr:sp macro="" textlink="">
          <xdr:nvSpPr>
            <xdr:cNvPr id="18479" name="Drop Down 47" hidden="1">
              <a:extLst>
                <a:ext uri="{63B3BB69-23CF-44E3-9099-C40C66FF867C}">
                  <a14:compatExt spid="_x0000_s18479"/>
                </a:ext>
                <a:ext uri="{FF2B5EF4-FFF2-40B4-BE49-F238E27FC236}">
                  <a16:creationId xmlns:a16="http://schemas.microsoft.com/office/drawing/2014/main" id="{00000000-0008-0000-0900-00002F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48</xdr:row>
          <xdr:rowOff>0</xdr:rowOff>
        </xdr:from>
        <xdr:to>
          <xdr:col>32</xdr:col>
          <xdr:colOff>0</xdr:colOff>
          <xdr:row>49</xdr:row>
          <xdr:rowOff>0</xdr:rowOff>
        </xdr:to>
        <xdr:sp macro="" textlink="">
          <xdr:nvSpPr>
            <xdr:cNvPr id="18480" name="Drop Down 48" hidden="1">
              <a:extLst>
                <a:ext uri="{63B3BB69-23CF-44E3-9099-C40C66FF867C}">
                  <a14:compatExt spid="_x0000_s18480"/>
                </a:ext>
                <a:ext uri="{FF2B5EF4-FFF2-40B4-BE49-F238E27FC236}">
                  <a16:creationId xmlns:a16="http://schemas.microsoft.com/office/drawing/2014/main" id="{00000000-0008-0000-0900-000030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0</xdr:row>
          <xdr:rowOff>28575</xdr:rowOff>
        </xdr:from>
        <xdr:to>
          <xdr:col>19</xdr:col>
          <xdr:colOff>85725</xdr:colOff>
          <xdr:row>1</xdr:row>
          <xdr:rowOff>9525</xdr:rowOff>
        </xdr:to>
        <xdr:sp macro="" textlink="">
          <xdr:nvSpPr>
            <xdr:cNvPr id="18482" name="Drop Down 50" hidden="1">
              <a:extLst>
                <a:ext uri="{63B3BB69-23CF-44E3-9099-C40C66FF867C}">
                  <a14:compatExt spid="_x0000_s18482"/>
                </a:ext>
                <a:ext uri="{FF2B5EF4-FFF2-40B4-BE49-F238E27FC236}">
                  <a16:creationId xmlns:a16="http://schemas.microsoft.com/office/drawing/2014/main" id="{00000000-0008-0000-0900-00003248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9525</xdr:colOff>
          <xdr:row>0</xdr:row>
          <xdr:rowOff>38100</xdr:rowOff>
        </xdr:from>
        <xdr:to>
          <xdr:col>42</xdr:col>
          <xdr:colOff>0</xdr:colOff>
          <xdr:row>1</xdr:row>
          <xdr:rowOff>114300</xdr:rowOff>
        </xdr:to>
        <xdr:sp macro="" textlink="">
          <xdr:nvSpPr>
            <xdr:cNvPr id="257031" name="Drop Down 7" hidden="1">
              <a:extLst>
                <a:ext uri="{63B3BB69-23CF-44E3-9099-C40C66FF867C}">
                  <a14:compatExt spid="_x0000_s257031"/>
                </a:ext>
                <a:ext uri="{FF2B5EF4-FFF2-40B4-BE49-F238E27FC236}">
                  <a16:creationId xmlns:a16="http://schemas.microsoft.com/office/drawing/2014/main" id="{00000000-0008-0000-0A00-000007EC03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xdr:row>
          <xdr:rowOff>28575</xdr:rowOff>
        </xdr:from>
        <xdr:to>
          <xdr:col>42</xdr:col>
          <xdr:colOff>0</xdr:colOff>
          <xdr:row>3</xdr:row>
          <xdr:rowOff>95250</xdr:rowOff>
        </xdr:to>
        <xdr:sp macro="" textlink="">
          <xdr:nvSpPr>
            <xdr:cNvPr id="257032" name="Drop Down 8" hidden="1">
              <a:extLst>
                <a:ext uri="{63B3BB69-23CF-44E3-9099-C40C66FF867C}">
                  <a14:compatExt spid="_x0000_s257032"/>
                </a:ext>
                <a:ext uri="{FF2B5EF4-FFF2-40B4-BE49-F238E27FC236}">
                  <a16:creationId xmlns:a16="http://schemas.microsoft.com/office/drawing/2014/main" id="{00000000-0008-0000-0A00-000008EC03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ld/Ver.1804.2_&#21407;&#26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お読み下さい"/>
      <sheetName val="平成30年4月改正について"/>
      <sheetName val="パスワード"/>
      <sheetName val="基本事項"/>
      <sheetName val="完成工事高(X1)"/>
      <sheetName val="技術力(Z)"/>
      <sheetName val="経営状況(Y)・自己資本額、平均利益額(X2)"/>
      <sheetName val="社会性等(W)"/>
      <sheetName val="経営事項審査結果通知書"/>
      <sheetName val="4パターン対比表"/>
      <sheetName val="グラフ"/>
      <sheetName val="経営事項審査評点2期比較"/>
      <sheetName val="完成工事高X1"/>
      <sheetName val="元請完成工事高Z2"/>
      <sheetName val="技術職員数Z1"/>
      <sheetName val="別表第一"/>
      <sheetName val="別表第二"/>
      <sheetName val="別表第三"/>
      <sheetName val="別表第四"/>
      <sheetName val="別表第五"/>
      <sheetName val="別表第六イ"/>
      <sheetName val="別表第六ホ"/>
      <sheetName val="別表第六ヘ"/>
      <sheetName val="機械リース"/>
      <sheetName val="その他"/>
    </sheetNames>
    <sheetDataSet>
      <sheetData sheetId="0" refreshError="1"/>
      <sheetData sheetId="1" refreshError="1"/>
      <sheetData sheetId="2" refreshError="1"/>
      <sheetData sheetId="3" refreshError="1"/>
      <sheetData sheetId="4" refreshError="1"/>
      <sheetData sheetId="5">
        <row r="3">
          <cell r="M3">
            <v>241</v>
          </cell>
          <cell r="U3">
            <v>510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ln w="9525" cap="flat" cmpd="sng" algn="ctr">
          <a:solidFill>
            <a:srgbClr val="EAEAEA"/>
          </a:solidFill>
          <a:prstDash val="solid"/>
          <a:round/>
          <a:headEnd type="none" w="med" len="med"/>
          <a:tailEnd type="none" w="med" len="med"/>
        </a:ln>
        <a:effectLst>
          <a:outerShdw dist="35921" dir="2700000" sy="50000" kx="2115830" algn="bl" rotWithShape="0">
            <a:srgbClr val="C0C0C0"/>
          </a:outerShdw>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ln w="9525" cap="flat" cmpd="sng" algn="ctr">
          <a:solidFill>
            <a:srgbClr val="EAEAEA"/>
          </a:solidFill>
          <a:prstDash val="solid"/>
          <a:round/>
          <a:headEnd type="none" w="med" len="med"/>
          <a:tailEnd type="none" w="med" len="med"/>
        </a:ln>
        <a:effectLst>
          <a:outerShdw dist="35921" dir="2700000" sy="50000" kx="2115830" algn="bl" rotWithShape="0">
            <a:srgbClr val="C0C0C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and-s-soft.gr.jp/cgi-bin/inquiry/0501"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vmlDrawing" Target="../drawings/vmlDrawing7.vml"/><Relationship Id="rId21" Type="http://schemas.openxmlformats.org/officeDocument/2006/relationships/ctrlProp" Target="../ctrlProps/ctrlProp27.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omments" Target="../comments5.xml"/><Relationship Id="rId2" Type="http://schemas.openxmlformats.org/officeDocument/2006/relationships/drawing" Target="../drawings/drawing7.xml"/><Relationship Id="rId16" Type="http://schemas.openxmlformats.org/officeDocument/2006/relationships/ctrlProp" Target="../ctrlProps/ctrlProp22.xml"/><Relationship Id="rId20" Type="http://schemas.openxmlformats.org/officeDocument/2006/relationships/ctrlProp" Target="../ctrlProps/ctrlProp26.xml"/><Relationship Id="rId1" Type="http://schemas.openxmlformats.org/officeDocument/2006/relationships/printerSettings" Target="../printerSettings/printerSettings10.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10" Type="http://schemas.openxmlformats.org/officeDocument/2006/relationships/ctrlProp" Target="../ctrlProps/ctrlProp16.xml"/><Relationship Id="rId19" Type="http://schemas.openxmlformats.org/officeDocument/2006/relationships/ctrlProp" Target="../ctrlProps/ctrlProp25.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lit.go.jp/tochi_fudousan_kensetsugyo/const/tochi_fudousan_kensetsugyo_const_fr1_000001_00034.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omments" Target="../comments3.xml"/><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omments" Target="../comments4.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62"/>
  <sheetViews>
    <sheetView showGridLines="0" showRowColHeaders="0" tabSelected="1" workbookViewId="0">
      <selection activeCell="D28" sqref="D28"/>
    </sheetView>
  </sheetViews>
  <sheetFormatPr defaultColWidth="9" defaultRowHeight="21" customHeight="1" x14ac:dyDescent="0.15"/>
  <cols>
    <col min="1" max="1" width="1.625" style="236" customWidth="1"/>
    <col min="2" max="2" width="16.625" style="234" customWidth="1"/>
    <col min="3" max="3" width="5.625" style="234" customWidth="1"/>
    <col min="4" max="4" width="70.625" style="235" customWidth="1"/>
    <col min="5" max="9" width="5.625" style="236" customWidth="1"/>
    <col min="10" max="16384" width="9" style="236"/>
  </cols>
  <sheetData>
    <row r="2" spans="2:4" ht="21" customHeight="1" x14ac:dyDescent="0.15">
      <c r="B2" s="234" t="s">
        <v>498</v>
      </c>
      <c r="C2" s="388" t="s">
        <v>571</v>
      </c>
      <c r="D2" s="389"/>
    </row>
    <row r="3" spans="2:4" ht="21" customHeight="1" x14ac:dyDescent="0.15">
      <c r="B3" s="234" t="s">
        <v>499</v>
      </c>
      <c r="C3" s="388" t="s">
        <v>710</v>
      </c>
      <c r="D3" s="389"/>
    </row>
    <row r="4" spans="2:4" ht="21" customHeight="1" x14ac:dyDescent="0.15">
      <c r="B4" s="234" t="s">
        <v>503</v>
      </c>
      <c r="C4" s="388" t="s">
        <v>728</v>
      </c>
      <c r="D4" s="389"/>
    </row>
    <row r="5" spans="2:4" ht="21" customHeight="1" x14ac:dyDescent="0.15">
      <c r="B5" s="234" t="s">
        <v>500</v>
      </c>
      <c r="C5" s="388" t="s">
        <v>504</v>
      </c>
      <c r="D5" s="389"/>
    </row>
    <row r="6" spans="2:4" ht="21" customHeight="1" x14ac:dyDescent="0.15">
      <c r="B6" s="234" t="s">
        <v>501</v>
      </c>
      <c r="C6" s="388" t="s">
        <v>727</v>
      </c>
      <c r="D6" s="389"/>
    </row>
    <row r="7" spans="2:4" ht="21" customHeight="1" x14ac:dyDescent="0.15">
      <c r="B7" s="234" t="s">
        <v>502</v>
      </c>
      <c r="C7" s="388" t="s">
        <v>505</v>
      </c>
      <c r="D7" s="389"/>
    </row>
    <row r="9" spans="2:4" ht="21" customHeight="1" x14ac:dyDescent="0.15">
      <c r="B9" s="234" t="s">
        <v>506</v>
      </c>
    </row>
    <row r="10" spans="2:4" ht="21" customHeight="1" x14ac:dyDescent="0.15">
      <c r="B10" s="386" t="s">
        <v>711</v>
      </c>
      <c r="C10" s="386"/>
      <c r="D10" s="387"/>
    </row>
    <row r="11" spans="2:4" ht="21" customHeight="1" x14ac:dyDescent="0.15">
      <c r="B11" s="386" t="s">
        <v>509</v>
      </c>
      <c r="C11" s="386"/>
      <c r="D11" s="387"/>
    </row>
    <row r="12" spans="2:4" ht="21" customHeight="1" x14ac:dyDescent="0.15">
      <c r="B12" s="386" t="s">
        <v>510</v>
      </c>
      <c r="C12" s="386"/>
      <c r="D12" s="387"/>
    </row>
    <row r="13" spans="2:4" ht="21" customHeight="1" x14ac:dyDescent="0.15">
      <c r="B13" s="386" t="s">
        <v>508</v>
      </c>
      <c r="C13" s="386"/>
      <c r="D13" s="387"/>
    </row>
    <row r="14" spans="2:4" ht="21" customHeight="1" x14ac:dyDescent="0.15">
      <c r="B14" s="386" t="s">
        <v>572</v>
      </c>
      <c r="C14" s="386"/>
      <c r="D14" s="387"/>
    </row>
    <row r="15" spans="2:4" ht="21" customHeight="1" x14ac:dyDescent="0.15">
      <c r="B15" s="386" t="s">
        <v>573</v>
      </c>
      <c r="C15" s="386"/>
      <c r="D15" s="387"/>
    </row>
    <row r="16" spans="2:4" ht="21" customHeight="1" x14ac:dyDescent="0.15">
      <c r="B16" s="386" t="s">
        <v>545</v>
      </c>
      <c r="C16" s="386"/>
      <c r="D16" s="387"/>
    </row>
    <row r="17" spans="2:4" ht="21" customHeight="1" x14ac:dyDescent="0.15">
      <c r="B17" s="386" t="s">
        <v>507</v>
      </c>
      <c r="C17" s="386"/>
      <c r="D17" s="387"/>
    </row>
    <row r="18" spans="2:4" ht="21" customHeight="1" x14ac:dyDescent="0.15">
      <c r="B18" s="386" t="s">
        <v>546</v>
      </c>
      <c r="C18" s="386"/>
      <c r="D18" s="387"/>
    </row>
    <row r="19" spans="2:4" ht="21" customHeight="1" x14ac:dyDescent="0.15">
      <c r="B19" s="387"/>
      <c r="C19" s="387"/>
      <c r="D19" s="387"/>
    </row>
    <row r="20" spans="2:4" ht="21" customHeight="1" x14ac:dyDescent="0.15">
      <c r="B20" s="234" t="s">
        <v>513</v>
      </c>
    </row>
    <row r="21" spans="2:4" ht="21" customHeight="1" x14ac:dyDescent="0.15">
      <c r="B21" s="386" t="s">
        <v>555</v>
      </c>
      <c r="C21" s="386"/>
      <c r="D21" s="387"/>
    </row>
    <row r="22" spans="2:4" ht="21" customHeight="1" x14ac:dyDescent="0.15">
      <c r="B22" s="386" t="s">
        <v>484</v>
      </c>
      <c r="C22" s="386"/>
      <c r="D22" s="387"/>
    </row>
    <row r="23" spans="2:4" ht="21" customHeight="1" x14ac:dyDescent="0.15">
      <c r="B23" s="386" t="s">
        <v>485</v>
      </c>
      <c r="C23" s="386"/>
      <c r="D23" s="387"/>
    </row>
    <row r="24" spans="2:4" ht="21" customHeight="1" x14ac:dyDescent="0.15">
      <c r="B24" s="386" t="s">
        <v>189</v>
      </c>
      <c r="C24" s="386"/>
      <c r="D24" s="387"/>
    </row>
    <row r="25" spans="2:4" ht="21" customHeight="1" x14ac:dyDescent="0.15">
      <c r="B25" s="386" t="s">
        <v>188</v>
      </c>
      <c r="C25" s="386"/>
      <c r="D25" s="387"/>
    </row>
    <row r="26" spans="2:4" ht="21" customHeight="1" x14ac:dyDescent="0.15">
      <c r="B26" s="386" t="s">
        <v>514</v>
      </c>
      <c r="C26" s="386"/>
      <c r="D26" s="387"/>
    </row>
    <row r="27" spans="2:4" ht="21" customHeight="1" x14ac:dyDescent="0.15">
      <c r="B27" s="387"/>
      <c r="C27" s="387"/>
      <c r="D27" s="387"/>
    </row>
    <row r="28" spans="2:4" ht="21" customHeight="1" x14ac:dyDescent="0.15">
      <c r="B28" s="390" t="s">
        <v>515</v>
      </c>
      <c r="C28" s="390"/>
      <c r="D28" s="385" t="s">
        <v>780</v>
      </c>
    </row>
    <row r="29" spans="2:4" ht="21" customHeight="1" x14ac:dyDescent="0.15">
      <c r="B29" s="387"/>
      <c r="C29" s="387"/>
      <c r="D29" s="387"/>
    </row>
    <row r="30" spans="2:4" ht="21" customHeight="1" x14ac:dyDescent="0.15">
      <c r="B30" s="386" t="s">
        <v>511</v>
      </c>
      <c r="C30" s="386"/>
      <c r="D30" s="387"/>
    </row>
    <row r="31" spans="2:4" ht="21" customHeight="1" x14ac:dyDescent="0.15">
      <c r="B31" s="386" t="s">
        <v>486</v>
      </c>
      <c r="C31" s="386"/>
      <c r="D31" s="387"/>
    </row>
    <row r="32" spans="2:4" ht="21" customHeight="1" x14ac:dyDescent="0.15">
      <c r="B32" s="386" t="s">
        <v>556</v>
      </c>
      <c r="C32" s="386"/>
      <c r="D32" s="387"/>
    </row>
    <row r="33" spans="2:4" ht="21" customHeight="1" x14ac:dyDescent="0.15">
      <c r="B33" s="386" t="s">
        <v>574</v>
      </c>
      <c r="C33" s="386"/>
      <c r="D33" s="387"/>
    </row>
    <row r="34" spans="2:4" ht="21" customHeight="1" x14ac:dyDescent="0.15">
      <c r="B34" s="386" t="s">
        <v>575</v>
      </c>
      <c r="C34" s="386"/>
      <c r="D34" s="387"/>
    </row>
    <row r="35" spans="2:4" ht="21" customHeight="1" x14ac:dyDescent="0.15">
      <c r="B35" s="386" t="s">
        <v>487</v>
      </c>
      <c r="C35" s="386"/>
      <c r="D35" s="387"/>
    </row>
    <row r="36" spans="2:4" ht="21" customHeight="1" x14ac:dyDescent="0.15">
      <c r="B36" s="386" t="s">
        <v>519</v>
      </c>
      <c r="C36" s="386"/>
      <c r="D36" s="387"/>
    </row>
    <row r="37" spans="2:4" ht="21" customHeight="1" x14ac:dyDescent="0.15">
      <c r="B37" s="387"/>
      <c r="C37" s="387"/>
      <c r="D37" s="387"/>
    </row>
    <row r="38" spans="2:4" ht="21" customHeight="1" x14ac:dyDescent="0.15">
      <c r="B38" s="265"/>
      <c r="C38" s="265"/>
      <c r="D38" s="265"/>
    </row>
    <row r="39" spans="2:4" ht="21" customHeight="1" x14ac:dyDescent="0.15">
      <c r="B39" s="387"/>
      <c r="C39" s="387"/>
      <c r="D39" s="387"/>
    </row>
    <row r="40" spans="2:4" ht="21" customHeight="1" x14ac:dyDescent="0.15">
      <c r="B40" s="236" t="s">
        <v>488</v>
      </c>
      <c r="C40" s="236"/>
    </row>
    <row r="41" spans="2:4" ht="21" customHeight="1" x14ac:dyDescent="0.15">
      <c r="B41" s="386" t="s">
        <v>489</v>
      </c>
      <c r="C41" s="386"/>
      <c r="D41" s="387"/>
    </row>
    <row r="42" spans="2:4" ht="21" customHeight="1" x14ac:dyDescent="0.15">
      <c r="B42" s="386" t="s">
        <v>490</v>
      </c>
      <c r="C42" s="386"/>
      <c r="D42" s="387"/>
    </row>
    <row r="43" spans="2:4" ht="21" customHeight="1" x14ac:dyDescent="0.15">
      <c r="B43" s="237" t="s">
        <v>528</v>
      </c>
      <c r="C43" s="237"/>
      <c r="D43" s="265"/>
    </row>
    <row r="44" spans="2:4" ht="21" customHeight="1" x14ac:dyDescent="0.15">
      <c r="B44" s="387"/>
      <c r="C44" s="387"/>
      <c r="D44" s="387"/>
    </row>
    <row r="45" spans="2:4" ht="21" customHeight="1" x14ac:dyDescent="0.15">
      <c r="B45" s="236" t="s">
        <v>491</v>
      </c>
      <c r="C45" s="236"/>
    </row>
    <row r="46" spans="2:4" ht="21" customHeight="1" x14ac:dyDescent="0.15">
      <c r="B46" s="386" t="s">
        <v>512</v>
      </c>
      <c r="C46" s="386"/>
      <c r="D46" s="387"/>
    </row>
    <row r="47" spans="2:4" ht="21" customHeight="1" x14ac:dyDescent="0.15">
      <c r="B47" s="237"/>
      <c r="C47" s="237"/>
    </row>
    <row r="48" spans="2:4" ht="21" customHeight="1" x14ac:dyDescent="0.15">
      <c r="B48" s="386" t="s">
        <v>553</v>
      </c>
      <c r="C48" s="386"/>
      <c r="D48" s="387"/>
    </row>
    <row r="49" spans="2:4" ht="21" customHeight="1" x14ac:dyDescent="0.15">
      <c r="B49" s="386" t="s">
        <v>552</v>
      </c>
      <c r="C49" s="386"/>
      <c r="D49" s="387"/>
    </row>
    <row r="50" spans="2:4" ht="21" customHeight="1" x14ac:dyDescent="0.15">
      <c r="B50" s="236"/>
      <c r="C50" s="236"/>
    </row>
    <row r="51" spans="2:4" ht="21" customHeight="1" x14ac:dyDescent="0.15">
      <c r="B51" s="236" t="s">
        <v>492</v>
      </c>
      <c r="C51" s="236"/>
    </row>
    <row r="52" spans="2:4" ht="21" customHeight="1" x14ac:dyDescent="0.15">
      <c r="B52" s="386" t="s">
        <v>493</v>
      </c>
      <c r="C52" s="386"/>
      <c r="D52" s="387"/>
    </row>
    <row r="53" spans="2:4" ht="21" customHeight="1" x14ac:dyDescent="0.15">
      <c r="B53" s="387"/>
      <c r="C53" s="387"/>
      <c r="D53" s="387"/>
    </row>
    <row r="54" spans="2:4" ht="21" customHeight="1" x14ac:dyDescent="0.15">
      <c r="B54" s="387" t="s">
        <v>494</v>
      </c>
      <c r="C54" s="387"/>
      <c r="D54" s="387"/>
    </row>
    <row r="55" spans="2:4" ht="21" customHeight="1" x14ac:dyDescent="0.15">
      <c r="B55" s="387" t="s">
        <v>495</v>
      </c>
      <c r="C55" s="387"/>
      <c r="D55" s="387"/>
    </row>
    <row r="56" spans="2:4" ht="21" customHeight="1" x14ac:dyDescent="0.15">
      <c r="B56" s="238" t="s">
        <v>517</v>
      </c>
      <c r="C56" s="238"/>
      <c r="D56" s="350" t="s">
        <v>190</v>
      </c>
    </row>
    <row r="57" spans="2:4" ht="21" customHeight="1" x14ac:dyDescent="0.15">
      <c r="B57" s="387" t="s">
        <v>496</v>
      </c>
      <c r="C57" s="387"/>
      <c r="D57" s="387"/>
    </row>
    <row r="58" spans="2:4" ht="21" customHeight="1" x14ac:dyDescent="0.15">
      <c r="B58" s="387" t="s">
        <v>497</v>
      </c>
      <c r="C58" s="387"/>
      <c r="D58" s="387"/>
    </row>
    <row r="59" spans="2:4" ht="21" customHeight="1" x14ac:dyDescent="0.15">
      <c r="B59" s="236"/>
      <c r="C59" s="236"/>
    </row>
    <row r="60" spans="2:4" ht="21" customHeight="1" x14ac:dyDescent="0.15">
      <c r="B60" s="238" t="s">
        <v>518</v>
      </c>
      <c r="C60" s="238"/>
      <c r="D60" s="350" t="s">
        <v>516</v>
      </c>
    </row>
    <row r="61" spans="2:4" ht="21" customHeight="1" x14ac:dyDescent="0.15">
      <c r="B61" s="387" t="s">
        <v>494</v>
      </c>
      <c r="C61" s="387"/>
      <c r="D61" s="387"/>
    </row>
    <row r="62" spans="2:4" ht="21" customHeight="1" x14ac:dyDescent="0.15">
      <c r="B62" s="387"/>
      <c r="C62" s="387"/>
      <c r="D62" s="387"/>
    </row>
  </sheetData>
  <sheetProtection algorithmName="SHA-512" hashValue="AkE0Ss2eK/fyzt+lNMc0QfRCVmteUbbHNciztlVIECFxh7kLz0SvJdNvU/dW66EUuPwCRqnP/a6k6bB6zbxsKw==" saltValue="N78+u41ub20SsxOiBh8bKQ==" spinCount="100000" sheet="1" objects="1" scenarios="1" selectLockedCells="1"/>
  <mergeCells count="48">
    <mergeCell ref="B23:D23"/>
    <mergeCell ref="B29:D29"/>
    <mergeCell ref="B10:D10"/>
    <mergeCell ref="C6:D6"/>
    <mergeCell ref="C7:D7"/>
    <mergeCell ref="B19:D19"/>
    <mergeCell ref="B18:D18"/>
    <mergeCell ref="B13:D13"/>
    <mergeCell ref="B14:D14"/>
    <mergeCell ref="C2:D2"/>
    <mergeCell ref="C3:D3"/>
    <mergeCell ref="C4:D4"/>
    <mergeCell ref="C5:D5"/>
    <mergeCell ref="B28:C28"/>
    <mergeCell ref="B21:D21"/>
    <mergeCell ref="B11:D11"/>
    <mergeCell ref="B25:D25"/>
    <mergeCell ref="B15:D15"/>
    <mergeCell ref="B16:D16"/>
    <mergeCell ref="B22:D22"/>
    <mergeCell ref="B26:D26"/>
    <mergeCell ref="B27:D27"/>
    <mergeCell ref="B24:D24"/>
    <mergeCell ref="B17:D17"/>
    <mergeCell ref="B12:D12"/>
    <mergeCell ref="B61:D61"/>
    <mergeCell ref="B62:D62"/>
    <mergeCell ref="B48:D48"/>
    <mergeCell ref="B44:D44"/>
    <mergeCell ref="B55:D55"/>
    <mergeCell ref="B58:D58"/>
    <mergeCell ref="B52:D52"/>
    <mergeCell ref="B54:D54"/>
    <mergeCell ref="B57:D57"/>
    <mergeCell ref="B49:D49"/>
    <mergeCell ref="B35:D35"/>
    <mergeCell ref="B30:D30"/>
    <mergeCell ref="B46:D46"/>
    <mergeCell ref="B53:D53"/>
    <mergeCell ref="B41:D41"/>
    <mergeCell ref="B36:D36"/>
    <mergeCell ref="B39:D39"/>
    <mergeCell ref="B37:D37"/>
    <mergeCell ref="B42:D42"/>
    <mergeCell ref="B33:D33"/>
    <mergeCell ref="B34:D34"/>
    <mergeCell ref="B31:D31"/>
    <mergeCell ref="B32:D32"/>
  </mergeCells>
  <phoneticPr fontId="2"/>
  <hyperlinks>
    <hyperlink ref="D28" r:id="rId1" xr:uid="{D3FBAF41-7483-47A7-9A17-9F4A0B6ABC08}"/>
  </hyperlinks>
  <pageMargins left="0.47244094488188981" right="0.39370078740157483" top="0.59055118110236227" bottom="0.59055118110236227" header="0.31496062992125984" footer="0.31496062992125984"/>
  <pageSetup paperSize="9"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B1:AY83"/>
  <sheetViews>
    <sheetView showGridLines="0" showRowColHeaders="0" zoomScaleNormal="100" workbookViewId="0">
      <selection activeCell="Z13" sqref="Z13:AD13"/>
    </sheetView>
  </sheetViews>
  <sheetFormatPr defaultColWidth="2.625" defaultRowHeight="18" customHeight="1" x14ac:dyDescent="0.15"/>
  <cols>
    <col min="1" max="1" width="3.625" style="1" customWidth="1"/>
    <col min="2" max="25" width="2.5" style="1" customWidth="1"/>
    <col min="26" max="32" width="2.625" style="1" customWidth="1"/>
    <col min="33" max="34" width="9.375" style="1" customWidth="1"/>
    <col min="35" max="35" width="2.625" style="1" customWidth="1"/>
    <col min="36" max="37" width="8.625" style="1" customWidth="1"/>
    <col min="38" max="38" width="3.125" style="1" customWidth="1"/>
    <col min="39" max="39" width="5.625" style="16" hidden="1" customWidth="1"/>
    <col min="40" max="41" width="5.625" style="1" hidden="1" customWidth="1"/>
    <col min="42" max="42" width="5.625" style="17" hidden="1" customWidth="1"/>
    <col min="43" max="44" width="5.625" style="16" hidden="1" customWidth="1"/>
    <col min="45" max="45" width="3.125" style="1" customWidth="1"/>
    <col min="46" max="46" width="0.875" style="1" customWidth="1"/>
    <col min="47" max="47" width="11.625" style="1" customWidth="1"/>
    <col min="48" max="50" width="7.625" style="1" customWidth="1"/>
    <col min="51" max="51" width="0.875" style="1" customWidth="1"/>
    <col min="52" max="16384" width="2.625" style="1"/>
  </cols>
  <sheetData>
    <row r="1" spans="2:51" ht="18" customHeight="1" x14ac:dyDescent="0.15">
      <c r="B1" s="379" t="s">
        <v>760</v>
      </c>
      <c r="C1" s="379" t="s">
        <v>756</v>
      </c>
      <c r="V1" s="512" t="s">
        <v>779</v>
      </c>
      <c r="W1" s="512"/>
      <c r="X1" s="512"/>
      <c r="Y1" s="512"/>
      <c r="Z1" s="512"/>
      <c r="AA1" s="512"/>
      <c r="AB1" s="512"/>
      <c r="AC1" s="512"/>
      <c r="AD1" s="512"/>
      <c r="AE1" s="512"/>
      <c r="AF1" s="512"/>
      <c r="AG1" s="512"/>
      <c r="AH1" s="512"/>
      <c r="AM1" s="260"/>
      <c r="AN1" s="261"/>
      <c r="AO1" s="261"/>
      <c r="AP1" s="262"/>
      <c r="AQ1" s="260"/>
      <c r="AR1" s="260"/>
      <c r="AT1" s="153"/>
      <c r="AU1" s="497" t="s">
        <v>126</v>
      </c>
      <c r="AV1" s="497"/>
      <c r="AW1" s="497"/>
      <c r="AX1" s="497"/>
      <c r="AY1" s="153"/>
    </row>
    <row r="2" spans="2:51" ht="18" customHeight="1" x14ac:dyDescent="0.15">
      <c r="C2" s="537" t="str">
        <f>VLOOKUP(AM2,AM82:AP83,3)</f>
        <v>「建設工事に従事する者の就業履歴を蓄積するために必要な措置の実施状況」　→　評価する</v>
      </c>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c r="AF2" s="537"/>
      <c r="AG2" s="537"/>
      <c r="AH2" s="537"/>
      <c r="AM2" s="18">
        <v>1</v>
      </c>
      <c r="AN2" s="1" t="str">
        <f>VLOOKUP(AM2,AM82:AN83,2)</f>
        <v>はい</v>
      </c>
      <c r="AT2" s="153"/>
      <c r="AU2" s="151"/>
      <c r="AV2" s="161" t="s">
        <v>461</v>
      </c>
      <c r="AW2" s="161" t="s">
        <v>462</v>
      </c>
      <c r="AX2" s="161" t="s">
        <v>463</v>
      </c>
      <c r="AY2" s="153"/>
    </row>
    <row r="3" spans="2:51" ht="18" customHeight="1" x14ac:dyDescent="0.15">
      <c r="B3" s="183"/>
      <c r="C3" s="538" t="str">
        <f>VLOOKUP(AM2,AM82:AP83,4)</f>
        <v>Ｗ評点＝（Ｗ１＋Ｗ２＋Ｗ３＋Ｗ４＋Ｗ５＋Ｗ６＋Ｗ７＋Ｗ８）×１０×１７５/２００</v>
      </c>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N3" s="253"/>
      <c r="AQ3" s="556" t="s">
        <v>564</v>
      </c>
      <c r="AR3" s="556"/>
      <c r="AT3" s="153"/>
      <c r="AU3" s="151"/>
      <c r="AV3" s="157">
        <f>'経営状況・自己資本額、平均利益額'!W3</f>
        <v>0</v>
      </c>
      <c r="AW3" s="157">
        <f>'経営状況・自己資本額、平均利益額'!X3</f>
        <v>665</v>
      </c>
      <c r="AX3" s="157">
        <f>'経営状況・自己資本額、平均利益額'!Y3</f>
        <v>0</v>
      </c>
      <c r="AY3" s="153"/>
    </row>
    <row r="4" spans="2:51" ht="18" customHeight="1" x14ac:dyDescent="0.15">
      <c r="B4" s="395" t="s">
        <v>264</v>
      </c>
      <c r="C4" s="533"/>
      <c r="D4" s="533"/>
      <c r="E4" s="533"/>
      <c r="F4" s="533"/>
      <c r="G4" s="533"/>
      <c r="H4" s="533"/>
      <c r="I4" s="533"/>
      <c r="J4" s="533"/>
      <c r="K4" s="533"/>
      <c r="L4" s="533"/>
      <c r="M4" s="533"/>
      <c r="N4" s="533"/>
      <c r="O4" s="533"/>
      <c r="P4" s="533"/>
      <c r="Q4" s="533"/>
      <c r="R4" s="533"/>
      <c r="S4" s="533"/>
      <c r="T4" s="533"/>
      <c r="U4" s="533"/>
      <c r="V4" s="533"/>
      <c r="W4" s="533"/>
      <c r="X4" s="533"/>
      <c r="Y4" s="533"/>
      <c r="Z4" s="513" t="s">
        <v>50</v>
      </c>
      <c r="AA4" s="513"/>
      <c r="AB4" s="513"/>
      <c r="AC4" s="513"/>
      <c r="AD4" s="513"/>
      <c r="AE4" s="513"/>
      <c r="AF4" s="513"/>
      <c r="AG4" s="513" t="s">
        <v>32</v>
      </c>
      <c r="AH4" s="513"/>
      <c r="AJ4" s="155" t="s">
        <v>27</v>
      </c>
      <c r="AK4" s="155" t="s">
        <v>28</v>
      </c>
      <c r="AL4" s="37"/>
      <c r="AM4" s="17" t="s">
        <v>757</v>
      </c>
      <c r="AO4" s="16"/>
      <c r="AQ4" s="179" t="s">
        <v>402</v>
      </c>
      <c r="AR4" s="179" t="s">
        <v>403</v>
      </c>
      <c r="AT4" s="153"/>
      <c r="AU4" s="151"/>
      <c r="AV4" s="159"/>
      <c r="AW4" s="159"/>
      <c r="AX4" s="159"/>
      <c r="AY4" s="153"/>
    </row>
    <row r="5" spans="2:51" ht="18" customHeight="1" x14ac:dyDescent="0.15">
      <c r="B5" s="107"/>
      <c r="C5" s="540" t="s">
        <v>52</v>
      </c>
      <c r="D5" s="540"/>
      <c r="E5" s="540"/>
      <c r="F5" s="540"/>
      <c r="G5" s="540"/>
      <c r="H5" s="540"/>
      <c r="I5" s="540"/>
      <c r="J5" s="540"/>
      <c r="K5" s="540"/>
      <c r="L5" s="540"/>
      <c r="M5" s="540"/>
      <c r="N5" s="540"/>
      <c r="O5" s="540"/>
      <c r="P5" s="540"/>
      <c r="Q5" s="540"/>
      <c r="R5" s="540"/>
      <c r="S5" s="540"/>
      <c r="T5" s="540"/>
      <c r="U5" s="540"/>
      <c r="V5" s="540"/>
      <c r="W5" s="540"/>
      <c r="X5" s="540"/>
      <c r="Y5" s="543"/>
      <c r="Z5" s="419"/>
      <c r="AA5" s="419"/>
      <c r="AB5" s="419"/>
      <c r="AC5" s="419"/>
      <c r="AD5" s="419"/>
      <c r="AE5" s="419"/>
      <c r="AF5" s="419"/>
      <c r="AG5" s="366">
        <f>IF(AM5=2,-40,0)</f>
        <v>0</v>
      </c>
      <c r="AH5" s="110"/>
      <c r="AJ5" s="16"/>
      <c r="AK5" s="16"/>
      <c r="AL5" s="37"/>
      <c r="AM5" s="18">
        <v>1</v>
      </c>
      <c r="AN5" s="1" t="str">
        <f>VLOOKUP(AM5,AM58:AN60,2)</f>
        <v>有</v>
      </c>
      <c r="AP5" s="19"/>
      <c r="AQ5" s="20"/>
      <c r="AT5" s="153"/>
      <c r="AU5" s="160"/>
      <c r="AV5" s="161" t="s">
        <v>464</v>
      </c>
      <c r="AW5" s="161" t="s">
        <v>465</v>
      </c>
      <c r="AX5" s="161" t="s">
        <v>466</v>
      </c>
      <c r="AY5" s="153"/>
    </row>
    <row r="6" spans="2:51" ht="18" customHeight="1" x14ac:dyDescent="0.15">
      <c r="B6" s="369"/>
      <c r="C6" s="507" t="s">
        <v>477</v>
      </c>
      <c r="D6" s="507"/>
      <c r="E6" s="507"/>
      <c r="F6" s="507"/>
      <c r="G6" s="507"/>
      <c r="H6" s="507"/>
      <c r="I6" s="507"/>
      <c r="J6" s="507"/>
      <c r="K6" s="507"/>
      <c r="L6" s="507"/>
      <c r="M6" s="507"/>
      <c r="N6" s="507"/>
      <c r="O6" s="507"/>
      <c r="P6" s="507"/>
      <c r="Q6" s="507"/>
      <c r="R6" s="507"/>
      <c r="S6" s="507"/>
      <c r="T6" s="507"/>
      <c r="U6" s="507"/>
      <c r="V6" s="507"/>
      <c r="W6" s="507"/>
      <c r="X6" s="507"/>
      <c r="Y6" s="508"/>
      <c r="Z6" s="531"/>
      <c r="AA6" s="531"/>
      <c r="AB6" s="531"/>
      <c r="AC6" s="531"/>
      <c r="AD6" s="531"/>
      <c r="AE6" s="531"/>
      <c r="AF6" s="532"/>
      <c r="AG6" s="370">
        <f>IF(AM6=2,-40,0)</f>
        <v>0</v>
      </c>
      <c r="AH6" s="105"/>
      <c r="AJ6" s="16"/>
      <c r="AK6" s="16"/>
      <c r="AL6" s="37"/>
      <c r="AM6" s="18">
        <v>1</v>
      </c>
      <c r="AN6" s="1" t="str">
        <f>VLOOKUP(AM6,AM58:AN60,2)</f>
        <v>有</v>
      </c>
      <c r="AP6" s="19"/>
      <c r="AQ6" s="20"/>
      <c r="AT6" s="153"/>
      <c r="AU6" s="162" t="s">
        <v>48</v>
      </c>
      <c r="AV6" s="157">
        <f>'経営状況・自己資本額、平均利益額'!W6</f>
        <v>414</v>
      </c>
      <c r="AW6" s="157">
        <f>'経営状況・自己資本額、平均利益額'!X6</f>
        <v>801</v>
      </c>
      <c r="AX6" s="157">
        <f>'経営状況・自己資本額、平均利益額'!Y6</f>
        <v>456</v>
      </c>
      <c r="AY6" s="153"/>
    </row>
    <row r="7" spans="2:51" ht="18" customHeight="1" x14ac:dyDescent="0.15">
      <c r="B7" s="369"/>
      <c r="C7" s="507" t="s">
        <v>476</v>
      </c>
      <c r="D7" s="507"/>
      <c r="E7" s="507"/>
      <c r="F7" s="507"/>
      <c r="G7" s="507"/>
      <c r="H7" s="507"/>
      <c r="I7" s="507"/>
      <c r="J7" s="507"/>
      <c r="K7" s="507"/>
      <c r="L7" s="507"/>
      <c r="M7" s="507"/>
      <c r="N7" s="507"/>
      <c r="O7" s="507"/>
      <c r="P7" s="507"/>
      <c r="Q7" s="507"/>
      <c r="R7" s="507"/>
      <c r="S7" s="507"/>
      <c r="T7" s="507"/>
      <c r="U7" s="507"/>
      <c r="V7" s="507"/>
      <c r="W7" s="507"/>
      <c r="X7" s="507"/>
      <c r="Y7" s="508"/>
      <c r="Z7" s="541"/>
      <c r="AA7" s="531"/>
      <c r="AB7" s="531"/>
      <c r="AC7" s="531"/>
      <c r="AD7" s="531"/>
      <c r="AE7" s="531"/>
      <c r="AF7" s="532"/>
      <c r="AG7" s="370">
        <f>IF(AM7=2,-40,0)</f>
        <v>0</v>
      </c>
      <c r="AH7" s="105"/>
      <c r="AJ7" s="16"/>
      <c r="AK7" s="16"/>
      <c r="AL7" s="37"/>
      <c r="AM7" s="18">
        <v>1</v>
      </c>
      <c r="AN7" s="1" t="str">
        <f>VLOOKUP(AM7,AM58:AN60,2)</f>
        <v>有</v>
      </c>
      <c r="AP7" s="19"/>
      <c r="AQ7" s="20"/>
      <c r="AT7" s="153"/>
      <c r="AU7" s="162" t="s">
        <v>125</v>
      </c>
      <c r="AV7" s="157">
        <f>'経営状況・自己資本額、平均利益額'!W7</f>
        <v>313</v>
      </c>
      <c r="AW7" s="157">
        <f>'経営状況・自己資本額、平均利益額'!X7</f>
        <v>397</v>
      </c>
      <c r="AX7" s="157">
        <f>'経営状況・自己資本額、平均利益額'!Y7</f>
        <v>456</v>
      </c>
      <c r="AY7" s="153"/>
    </row>
    <row r="8" spans="2:51" ht="18" customHeight="1" x14ac:dyDescent="0.15">
      <c r="B8" s="369"/>
      <c r="C8" s="507" t="s">
        <v>60</v>
      </c>
      <c r="D8" s="507"/>
      <c r="E8" s="507"/>
      <c r="F8" s="507"/>
      <c r="G8" s="507"/>
      <c r="H8" s="507"/>
      <c r="I8" s="507"/>
      <c r="J8" s="507"/>
      <c r="K8" s="507"/>
      <c r="L8" s="507"/>
      <c r="M8" s="507"/>
      <c r="N8" s="507"/>
      <c r="O8" s="507"/>
      <c r="P8" s="507"/>
      <c r="Q8" s="507"/>
      <c r="R8" s="507"/>
      <c r="S8" s="507"/>
      <c r="T8" s="507"/>
      <c r="U8" s="507"/>
      <c r="V8" s="507"/>
      <c r="W8" s="507"/>
      <c r="X8" s="507"/>
      <c r="Y8" s="508"/>
      <c r="Z8" s="531"/>
      <c r="AA8" s="531"/>
      <c r="AB8" s="531"/>
      <c r="AC8" s="531"/>
      <c r="AD8" s="531"/>
      <c r="AE8" s="531"/>
      <c r="AF8" s="532"/>
      <c r="AG8" s="370">
        <f>IF(AM8=1,15,0)</f>
        <v>15</v>
      </c>
      <c r="AH8" s="105"/>
      <c r="AJ8" s="16"/>
      <c r="AK8" s="16"/>
      <c r="AL8" s="37"/>
      <c r="AM8" s="18">
        <v>1</v>
      </c>
      <c r="AN8" s="1" t="str">
        <f>VLOOKUP(AM8,AM58:AN59,2)</f>
        <v>有</v>
      </c>
      <c r="AP8" s="19"/>
      <c r="AQ8" s="20"/>
      <c r="AT8" s="153"/>
      <c r="AU8" s="162" t="s">
        <v>53</v>
      </c>
      <c r="AV8" s="157">
        <f>'経営状況・自己資本額、平均利益額'!W8</f>
        <v>313</v>
      </c>
      <c r="AW8" s="157">
        <f>'経営状況・自己資本額、平均利益額'!X8</f>
        <v>397</v>
      </c>
      <c r="AX8" s="157">
        <f>'経営状況・自己資本額、平均利益額'!Y8</f>
        <v>456</v>
      </c>
      <c r="AY8" s="153"/>
    </row>
    <row r="9" spans="2:51" ht="18" customHeight="1" x14ac:dyDescent="0.15">
      <c r="B9" s="369"/>
      <c r="C9" s="507" t="s">
        <v>243</v>
      </c>
      <c r="D9" s="507"/>
      <c r="E9" s="507"/>
      <c r="F9" s="507"/>
      <c r="G9" s="507"/>
      <c r="H9" s="507"/>
      <c r="I9" s="507"/>
      <c r="J9" s="507"/>
      <c r="K9" s="507"/>
      <c r="L9" s="507"/>
      <c r="M9" s="507"/>
      <c r="N9" s="507"/>
      <c r="O9" s="507"/>
      <c r="P9" s="507"/>
      <c r="Q9" s="507"/>
      <c r="R9" s="507"/>
      <c r="S9" s="507"/>
      <c r="T9" s="507"/>
      <c r="U9" s="507"/>
      <c r="V9" s="507"/>
      <c r="W9" s="507"/>
      <c r="X9" s="507"/>
      <c r="Y9" s="508"/>
      <c r="Z9" s="531"/>
      <c r="AA9" s="531"/>
      <c r="AB9" s="531"/>
      <c r="AC9" s="531"/>
      <c r="AD9" s="531"/>
      <c r="AE9" s="531"/>
      <c r="AF9" s="532"/>
      <c r="AG9" s="370">
        <f>IF(AM9=1,15,0)</f>
        <v>15</v>
      </c>
      <c r="AH9" s="105"/>
      <c r="AJ9" s="16"/>
      <c r="AK9" s="16"/>
      <c r="AL9" s="37"/>
      <c r="AM9" s="18">
        <v>1</v>
      </c>
      <c r="AN9" s="1" t="str">
        <f>VLOOKUP(AM9,AM58:AN59,2)</f>
        <v>有</v>
      </c>
      <c r="AP9" s="19"/>
      <c r="AQ9" s="20"/>
      <c r="AT9" s="153"/>
      <c r="AU9" s="162" t="s">
        <v>54</v>
      </c>
      <c r="AV9" s="157" t="str">
        <f>'経営状況・自己資本額、平均利益額'!W9</f>
        <v/>
      </c>
      <c r="AW9" s="157" t="str">
        <f>'経営状況・自己資本額、平均利益額'!X9</f>
        <v/>
      </c>
      <c r="AX9" s="157" t="str">
        <f>'経営状況・自己資本額、平均利益額'!Y9</f>
        <v/>
      </c>
      <c r="AY9" s="153"/>
    </row>
    <row r="10" spans="2:51" ht="18" customHeight="1" x14ac:dyDescent="0.15">
      <c r="B10" s="367"/>
      <c r="C10" s="511" t="s">
        <v>69</v>
      </c>
      <c r="D10" s="511"/>
      <c r="E10" s="511"/>
      <c r="F10" s="511"/>
      <c r="G10" s="511"/>
      <c r="H10" s="511"/>
      <c r="I10" s="511"/>
      <c r="J10" s="511"/>
      <c r="K10" s="511"/>
      <c r="L10" s="511"/>
      <c r="M10" s="511"/>
      <c r="N10" s="511"/>
      <c r="O10" s="511"/>
      <c r="P10" s="511"/>
      <c r="Q10" s="511"/>
      <c r="R10" s="511"/>
      <c r="S10" s="511"/>
      <c r="T10" s="511"/>
      <c r="U10" s="511"/>
      <c r="V10" s="511"/>
      <c r="W10" s="511"/>
      <c r="X10" s="511"/>
      <c r="Y10" s="539"/>
      <c r="Z10" s="534"/>
      <c r="AA10" s="534"/>
      <c r="AB10" s="534"/>
      <c r="AC10" s="534"/>
      <c r="AD10" s="534"/>
      <c r="AE10" s="534"/>
      <c r="AF10" s="535"/>
      <c r="AG10" s="368">
        <f>IF(AM10=1,15,0)</f>
        <v>15</v>
      </c>
      <c r="AH10" s="355">
        <f>SUM(AG5:AG10)</f>
        <v>45</v>
      </c>
      <c r="AJ10" s="248">
        <v>45</v>
      </c>
      <c r="AK10" s="248">
        <v>-120</v>
      </c>
      <c r="AL10" s="37"/>
      <c r="AM10" s="18">
        <v>1</v>
      </c>
      <c r="AN10" s="1" t="str">
        <f>VLOOKUP(AM10,AM58:AN59,2)</f>
        <v>有</v>
      </c>
      <c r="AT10" s="153"/>
      <c r="AU10" s="162" t="s">
        <v>56</v>
      </c>
      <c r="AV10" s="157" t="str">
        <f>'経営状況・自己資本額、平均利益額'!W10</f>
        <v/>
      </c>
      <c r="AW10" s="157" t="str">
        <f>'経営状況・自己資本額、平均利益額'!X10</f>
        <v/>
      </c>
      <c r="AX10" s="157" t="str">
        <f>'経営状況・自己資本額、平均利益額'!Y10</f>
        <v/>
      </c>
      <c r="AY10" s="153"/>
    </row>
    <row r="11" spans="2:51" ht="18" customHeight="1" x14ac:dyDescent="0.15">
      <c r="B11" s="372"/>
      <c r="C11" s="551" t="s">
        <v>764</v>
      </c>
      <c r="D11" s="551"/>
      <c r="E11" s="551"/>
      <c r="F11" s="551"/>
      <c r="G11" s="551"/>
      <c r="H11" s="551"/>
      <c r="I11" s="551"/>
      <c r="J11" s="551"/>
      <c r="K11" s="551"/>
      <c r="L11" s="551"/>
      <c r="M11" s="551"/>
      <c r="N11" s="551"/>
      <c r="O11" s="551"/>
      <c r="P11" s="551"/>
      <c r="Q11" s="551"/>
      <c r="R11" s="551"/>
      <c r="S11" s="551"/>
      <c r="T11" s="551"/>
      <c r="U11" s="551"/>
      <c r="V11" s="551"/>
      <c r="W11" s="551"/>
      <c r="X11" s="551"/>
      <c r="Y11" s="552"/>
      <c r="Z11" s="542"/>
      <c r="AA11" s="542"/>
      <c r="AB11" s="542"/>
      <c r="AC11" s="542"/>
      <c r="AD11" s="542"/>
      <c r="AE11" s="542"/>
      <c r="AF11" s="542"/>
      <c r="AG11" s="373">
        <f>IF(AM11=1,1,0)</f>
        <v>1</v>
      </c>
      <c r="AH11" s="113"/>
      <c r="AJ11" s="17"/>
      <c r="AK11" s="16"/>
      <c r="AL11" s="37"/>
      <c r="AM11" s="18">
        <v>1</v>
      </c>
      <c r="AN11" s="1" t="str">
        <f>VLOOKUP(AM11,AM58:AP59,4)</f>
        <v>該当</v>
      </c>
      <c r="AT11" s="153"/>
      <c r="AU11" s="162" t="s">
        <v>58</v>
      </c>
      <c r="AV11" s="157">
        <f>'経営状況・自己資本額、平均利益額'!W11</f>
        <v>314</v>
      </c>
      <c r="AW11" s="157">
        <f>'経営状況・自己資本額、平均利益額'!X11</f>
        <v>400</v>
      </c>
      <c r="AX11" s="157">
        <f>'経営状況・自己資本額、平均利益額'!Y11</f>
        <v>456</v>
      </c>
      <c r="AY11" s="153"/>
    </row>
    <row r="12" spans="2:51" ht="18" customHeight="1" x14ac:dyDescent="0.15">
      <c r="B12" s="371"/>
      <c r="C12" s="511" t="s">
        <v>520</v>
      </c>
      <c r="D12" s="511"/>
      <c r="E12" s="511"/>
      <c r="F12" s="511"/>
      <c r="G12" s="511"/>
      <c r="H12" s="511"/>
      <c r="I12" s="511"/>
      <c r="J12" s="511"/>
      <c r="K12" s="511"/>
      <c r="L12" s="511"/>
      <c r="M12" s="511"/>
      <c r="N12" s="511"/>
      <c r="O12" s="511"/>
      <c r="P12" s="511"/>
      <c r="Q12" s="511"/>
      <c r="R12" s="511"/>
      <c r="S12" s="511"/>
      <c r="T12" s="511"/>
      <c r="U12" s="511"/>
      <c r="V12" s="511"/>
      <c r="W12" s="511"/>
      <c r="X12" s="511"/>
      <c r="Y12" s="539"/>
      <c r="Z12" s="534"/>
      <c r="AA12" s="534"/>
      <c r="AB12" s="534"/>
      <c r="AC12" s="534"/>
      <c r="AD12" s="534"/>
      <c r="AE12" s="534"/>
      <c r="AF12" s="534"/>
      <c r="AG12" s="368">
        <f>IF(AM12=1,1,0)</f>
        <v>1</v>
      </c>
      <c r="AH12" s="355">
        <f>SUM(AG11:AG12)</f>
        <v>2</v>
      </c>
      <c r="AJ12" s="248">
        <v>2</v>
      </c>
      <c r="AK12" s="248">
        <v>0</v>
      </c>
      <c r="AL12" s="37"/>
      <c r="AM12" s="18">
        <v>1</v>
      </c>
      <c r="AN12" s="1" t="str">
        <f>VLOOKUP(AM12,AM58:AP59,4)</f>
        <v>該当</v>
      </c>
      <c r="AT12" s="153"/>
      <c r="AU12" s="162" t="s">
        <v>59</v>
      </c>
      <c r="AV12" s="157">
        <f>'経営状況・自己資本額、平均利益額'!W12</f>
        <v>313</v>
      </c>
      <c r="AW12" s="157">
        <f>'経営状況・自己資本額、平均利益額'!X12</f>
        <v>397</v>
      </c>
      <c r="AX12" s="157">
        <f>'経営状況・自己資本額、平均利益額'!Y12</f>
        <v>456</v>
      </c>
      <c r="AY12" s="153"/>
    </row>
    <row r="13" spans="2:51" ht="18" customHeight="1" x14ac:dyDescent="0.15">
      <c r="B13" s="374"/>
      <c r="C13" s="540" t="s">
        <v>623</v>
      </c>
      <c r="D13" s="540"/>
      <c r="E13" s="540"/>
      <c r="F13" s="540"/>
      <c r="G13" s="540"/>
      <c r="H13" s="540"/>
      <c r="I13" s="540"/>
      <c r="J13" s="540"/>
      <c r="K13" s="540"/>
      <c r="L13" s="540"/>
      <c r="M13" s="540"/>
      <c r="N13" s="540"/>
      <c r="O13" s="540"/>
      <c r="P13" s="540"/>
      <c r="Q13" s="540"/>
      <c r="R13" s="540"/>
      <c r="S13" s="540"/>
      <c r="T13" s="540"/>
      <c r="U13" s="540"/>
      <c r="V13" s="540"/>
      <c r="W13" s="540"/>
      <c r="X13" s="540"/>
      <c r="Y13" s="540"/>
      <c r="Z13" s="547">
        <v>248</v>
      </c>
      <c r="AA13" s="547"/>
      <c r="AB13" s="547"/>
      <c r="AC13" s="547"/>
      <c r="AD13" s="547"/>
      <c r="AE13" s="502" t="s">
        <v>628</v>
      </c>
      <c r="AF13" s="502"/>
      <c r="AG13" s="375" t="s">
        <v>633</v>
      </c>
      <c r="AH13" s="352"/>
      <c r="AJ13" s="17"/>
      <c r="AK13" s="16"/>
      <c r="AO13" s="16"/>
      <c r="AT13" s="153"/>
      <c r="AU13" s="162" t="s">
        <v>61</v>
      </c>
      <c r="AV13" s="157" t="str">
        <f>'経営状況・自己資本額、平均利益額'!W13</f>
        <v/>
      </c>
      <c r="AW13" s="157" t="str">
        <f>'経営状況・自己資本額、平均利益額'!X13</f>
        <v/>
      </c>
      <c r="AX13" s="157" t="str">
        <f>'経営状況・自己資本額、平均利益額'!Y13</f>
        <v/>
      </c>
      <c r="AY13" s="153"/>
    </row>
    <row r="14" spans="2:51" ht="18" customHeight="1" x14ac:dyDescent="0.15">
      <c r="B14" s="376"/>
      <c r="C14" s="507" t="s">
        <v>624</v>
      </c>
      <c r="D14" s="507"/>
      <c r="E14" s="507"/>
      <c r="F14" s="507"/>
      <c r="G14" s="507"/>
      <c r="H14" s="507"/>
      <c r="I14" s="507"/>
      <c r="J14" s="507"/>
      <c r="K14" s="507"/>
      <c r="L14" s="507"/>
      <c r="M14" s="507"/>
      <c r="N14" s="507"/>
      <c r="O14" s="507"/>
      <c r="P14" s="507"/>
      <c r="Q14" s="507"/>
      <c r="R14" s="507"/>
      <c r="S14" s="507"/>
      <c r="T14" s="507"/>
      <c r="U14" s="507"/>
      <c r="V14" s="507"/>
      <c r="W14" s="507"/>
      <c r="X14" s="507"/>
      <c r="Y14" s="507"/>
      <c r="Z14" s="510">
        <v>16</v>
      </c>
      <c r="AA14" s="510"/>
      <c r="AB14" s="510"/>
      <c r="AC14" s="510"/>
      <c r="AD14" s="510"/>
      <c r="AE14" s="557" t="s">
        <v>260</v>
      </c>
      <c r="AF14" s="557"/>
      <c r="AG14" s="378">
        <f>別表第十七!I3</f>
        <v>5</v>
      </c>
      <c r="AH14" s="353"/>
      <c r="AJ14" s="16"/>
      <c r="AK14" s="16"/>
      <c r="AM14" s="179" t="s">
        <v>576</v>
      </c>
      <c r="AN14" s="1">
        <f>Z14/(Z14+Z16)</f>
        <v>0.55172413793103448</v>
      </c>
      <c r="AO14" s="1">
        <f>Z13/Z14</f>
        <v>15.5</v>
      </c>
      <c r="AP14" s="8">
        <f>AN14*AG14</f>
        <v>2.7586206896551726</v>
      </c>
      <c r="AT14" s="153"/>
      <c r="AU14" s="162" t="s">
        <v>62</v>
      </c>
      <c r="AV14" s="157" t="str">
        <f>'経営状況・自己資本額、平均利益額'!W14</f>
        <v/>
      </c>
      <c r="AW14" s="157" t="str">
        <f>'経営状況・自己資本額、平均利益額'!X14</f>
        <v/>
      </c>
      <c r="AX14" s="157" t="str">
        <f>'経営状況・自己資本額、平均利益額'!Y14</f>
        <v/>
      </c>
      <c r="AY14" s="153"/>
    </row>
    <row r="15" spans="2:51" ht="18" customHeight="1" x14ac:dyDescent="0.15">
      <c r="B15" s="376"/>
      <c r="C15" s="507" t="s">
        <v>729</v>
      </c>
      <c r="D15" s="507"/>
      <c r="E15" s="507"/>
      <c r="F15" s="507"/>
      <c r="G15" s="507"/>
      <c r="H15" s="507"/>
      <c r="I15" s="507"/>
      <c r="J15" s="507"/>
      <c r="K15" s="507"/>
      <c r="L15" s="507"/>
      <c r="M15" s="507"/>
      <c r="N15" s="507"/>
      <c r="O15" s="507"/>
      <c r="P15" s="507"/>
      <c r="Q15" s="507"/>
      <c r="R15" s="507"/>
      <c r="S15" s="507"/>
      <c r="T15" s="507"/>
      <c r="U15" s="507"/>
      <c r="V15" s="507"/>
      <c r="W15" s="507"/>
      <c r="X15" s="507"/>
      <c r="Y15" s="507"/>
      <c r="Z15" s="510">
        <v>6</v>
      </c>
      <c r="AA15" s="510"/>
      <c r="AB15" s="510"/>
      <c r="AC15" s="510"/>
      <c r="AD15" s="510"/>
      <c r="AE15" s="557" t="s">
        <v>260</v>
      </c>
      <c r="AF15" s="557"/>
      <c r="AG15" s="377" t="s">
        <v>634</v>
      </c>
      <c r="AH15" s="351"/>
      <c r="AJ15" s="16"/>
      <c r="AK15" s="16"/>
      <c r="AO15" s="16"/>
      <c r="AT15" s="153"/>
      <c r="AU15" s="162" t="s">
        <v>64</v>
      </c>
      <c r="AV15" s="157" t="str">
        <f>'経営状況・自己資本額、平均利益額'!W15</f>
        <v/>
      </c>
      <c r="AW15" s="157" t="str">
        <f>'経営状況・自己資本額、平均利益額'!X15</f>
        <v/>
      </c>
      <c r="AX15" s="157" t="str">
        <f>'経営状況・自己資本額、平均利益額'!Y15</f>
        <v/>
      </c>
      <c r="AY15" s="153"/>
    </row>
    <row r="16" spans="2:51" ht="18" customHeight="1" x14ac:dyDescent="0.15">
      <c r="B16" s="376"/>
      <c r="C16" s="507" t="s">
        <v>625</v>
      </c>
      <c r="D16" s="507"/>
      <c r="E16" s="507"/>
      <c r="F16" s="507"/>
      <c r="G16" s="507"/>
      <c r="H16" s="507"/>
      <c r="I16" s="507"/>
      <c r="J16" s="507"/>
      <c r="K16" s="507"/>
      <c r="L16" s="507"/>
      <c r="M16" s="507"/>
      <c r="N16" s="507"/>
      <c r="O16" s="507"/>
      <c r="P16" s="507"/>
      <c r="Q16" s="507"/>
      <c r="R16" s="507"/>
      <c r="S16" s="507"/>
      <c r="T16" s="507"/>
      <c r="U16" s="507"/>
      <c r="V16" s="507"/>
      <c r="W16" s="507"/>
      <c r="X16" s="507"/>
      <c r="Y16" s="507"/>
      <c r="Z16" s="510">
        <v>13</v>
      </c>
      <c r="AA16" s="510"/>
      <c r="AB16" s="510"/>
      <c r="AC16" s="510"/>
      <c r="AD16" s="510"/>
      <c r="AE16" s="557" t="s">
        <v>260</v>
      </c>
      <c r="AF16" s="557"/>
      <c r="AG16" s="378">
        <f>別表第十七!N3</f>
        <v>10</v>
      </c>
      <c r="AH16" s="325"/>
      <c r="AJ16" s="16"/>
      <c r="AK16" s="16"/>
      <c r="AM16" s="16" t="s">
        <v>577</v>
      </c>
      <c r="AN16" s="1">
        <f>Z16/(Z14+Z16)</f>
        <v>0.44827586206896552</v>
      </c>
      <c r="AO16" s="1">
        <f>IF(Z16-Z17&lt;=0,0,Z15/(Z16-Z17)*100)</f>
        <v>50</v>
      </c>
      <c r="AP16" s="8">
        <f>AN16*AG16</f>
        <v>4.4827586206896548</v>
      </c>
      <c r="AT16" s="153"/>
      <c r="AU16" s="162" t="s">
        <v>65</v>
      </c>
      <c r="AV16" s="157" t="str">
        <f>'経営状況・自己資本額、平均利益額'!W16</f>
        <v/>
      </c>
      <c r="AW16" s="157" t="str">
        <f>'経営状況・自己資本額、平均利益額'!X16</f>
        <v/>
      </c>
      <c r="AX16" s="157" t="str">
        <f>'経営状況・自己資本額、平均利益額'!Y16</f>
        <v/>
      </c>
      <c r="AY16" s="153"/>
    </row>
    <row r="17" spans="2:51" ht="18" customHeight="1" x14ac:dyDescent="0.15">
      <c r="B17" s="102"/>
      <c r="C17" s="511" t="s">
        <v>701</v>
      </c>
      <c r="D17" s="511"/>
      <c r="E17" s="511"/>
      <c r="F17" s="511"/>
      <c r="G17" s="511"/>
      <c r="H17" s="511"/>
      <c r="I17" s="511"/>
      <c r="J17" s="511"/>
      <c r="K17" s="511"/>
      <c r="L17" s="511"/>
      <c r="M17" s="511"/>
      <c r="N17" s="511"/>
      <c r="O17" s="511"/>
      <c r="P17" s="511"/>
      <c r="Q17" s="511"/>
      <c r="R17" s="511"/>
      <c r="S17" s="511"/>
      <c r="T17" s="511"/>
      <c r="U17" s="511"/>
      <c r="V17" s="511"/>
      <c r="W17" s="511"/>
      <c r="X17" s="511"/>
      <c r="Y17" s="511"/>
      <c r="Z17" s="544">
        <v>1</v>
      </c>
      <c r="AA17" s="544"/>
      <c r="AB17" s="544"/>
      <c r="AC17" s="544"/>
      <c r="AD17" s="544"/>
      <c r="AE17" s="503" t="s">
        <v>260</v>
      </c>
      <c r="AF17" s="503"/>
      <c r="AG17" s="324"/>
      <c r="AH17" s="356">
        <f>別表第十七!C3</f>
        <v>7</v>
      </c>
      <c r="AJ17" s="248">
        <v>10</v>
      </c>
      <c r="AK17" s="248">
        <v>0</v>
      </c>
      <c r="AO17" s="1" t="s">
        <v>114</v>
      </c>
      <c r="AP17" s="8">
        <f>SUM(AP14:AP16)</f>
        <v>7.2413793103448274</v>
      </c>
      <c r="AT17" s="153"/>
      <c r="AU17" s="162" t="s">
        <v>396</v>
      </c>
      <c r="AV17" s="157" t="str">
        <f>'経営状況・自己資本額、平均利益額'!W17</f>
        <v/>
      </c>
      <c r="AW17" s="157" t="str">
        <f>'経営状況・自己資本額、平均利益額'!X17</f>
        <v/>
      </c>
      <c r="AX17" s="157" t="str">
        <f>'経営状況・自己資本額、平均利益額'!Y17</f>
        <v/>
      </c>
      <c r="AY17" s="153"/>
    </row>
    <row r="18" spans="2:51" ht="18" customHeight="1" x14ac:dyDescent="0.15">
      <c r="B18" s="107"/>
      <c r="C18" s="540" t="s">
        <v>743</v>
      </c>
      <c r="D18" s="540"/>
      <c r="E18" s="540"/>
      <c r="F18" s="540"/>
      <c r="G18" s="540"/>
      <c r="H18" s="540"/>
      <c r="I18" s="540"/>
      <c r="J18" s="540"/>
      <c r="K18" s="540"/>
      <c r="L18" s="540"/>
      <c r="M18" s="540"/>
      <c r="N18" s="540"/>
      <c r="O18" s="540"/>
      <c r="P18" s="540"/>
      <c r="Q18" s="540"/>
      <c r="R18" s="540"/>
      <c r="S18" s="540"/>
      <c r="T18" s="540"/>
      <c r="U18" s="540"/>
      <c r="V18" s="540"/>
      <c r="W18" s="540"/>
      <c r="X18" s="540"/>
      <c r="Y18" s="543"/>
      <c r="Z18" s="550"/>
      <c r="AA18" s="550"/>
      <c r="AB18" s="550"/>
      <c r="AC18" s="550"/>
      <c r="AD18" s="550"/>
      <c r="AE18" s="550"/>
      <c r="AF18" s="558"/>
      <c r="AG18" s="366">
        <f>VLOOKUP(AM18,AM64:AQ68,5)</f>
        <v>2</v>
      </c>
      <c r="AH18" s="110"/>
      <c r="AJ18" s="16"/>
      <c r="AK18" s="16"/>
      <c r="AL18" s="37"/>
      <c r="AM18" s="18">
        <v>1</v>
      </c>
      <c r="AN18" s="1" t="str">
        <f>VLOOKUP(AM18,AM64:AN68,2)</f>
        <v>えるぼし（1段階目）</v>
      </c>
      <c r="AP18" s="19"/>
      <c r="AQ18" s="20"/>
      <c r="AT18" s="153"/>
      <c r="AU18" s="162" t="s">
        <v>67</v>
      </c>
      <c r="AV18" s="157" t="str">
        <f>'経営状況・自己資本額、平均利益額'!W18</f>
        <v/>
      </c>
      <c r="AW18" s="157" t="str">
        <f>'経営状況・自己資本額、平均利益額'!X18</f>
        <v/>
      </c>
      <c r="AX18" s="157" t="str">
        <f>'経営状況・自己資本額、平均利益額'!Y18</f>
        <v/>
      </c>
      <c r="AY18" s="153"/>
    </row>
    <row r="19" spans="2:51" ht="18" customHeight="1" x14ac:dyDescent="0.15">
      <c r="B19" s="369"/>
      <c r="C19" s="507" t="s">
        <v>744</v>
      </c>
      <c r="D19" s="507"/>
      <c r="E19" s="507"/>
      <c r="F19" s="507"/>
      <c r="G19" s="507"/>
      <c r="H19" s="507"/>
      <c r="I19" s="507"/>
      <c r="J19" s="507"/>
      <c r="K19" s="507"/>
      <c r="L19" s="507"/>
      <c r="M19" s="507"/>
      <c r="N19" s="507"/>
      <c r="O19" s="507"/>
      <c r="P19" s="507"/>
      <c r="Q19" s="507"/>
      <c r="R19" s="507"/>
      <c r="S19" s="507"/>
      <c r="T19" s="507"/>
      <c r="U19" s="507"/>
      <c r="V19" s="507"/>
      <c r="W19" s="507"/>
      <c r="X19" s="507"/>
      <c r="Y19" s="508"/>
      <c r="Z19" s="531"/>
      <c r="AA19" s="531"/>
      <c r="AB19" s="531"/>
      <c r="AC19" s="531"/>
      <c r="AD19" s="531"/>
      <c r="AE19" s="531"/>
      <c r="AF19" s="532"/>
      <c r="AG19" s="370">
        <f>VLOOKUP(AM19,AM70:AQ73,5)</f>
        <v>5</v>
      </c>
      <c r="AH19" s="354"/>
      <c r="AJ19" s="16"/>
      <c r="AK19" s="16"/>
      <c r="AL19" s="37"/>
      <c r="AM19" s="18">
        <v>3</v>
      </c>
      <c r="AN19" s="1" t="str">
        <f>VLOOKUP(AM19,AM70:AN73,2)</f>
        <v>プラチナくるみん</v>
      </c>
      <c r="AP19" s="19"/>
      <c r="AQ19" s="20"/>
      <c r="AT19" s="153"/>
      <c r="AU19" s="162" t="s">
        <v>70</v>
      </c>
      <c r="AV19" s="157" t="str">
        <f>'経営状況・自己資本額、平均利益額'!W19</f>
        <v/>
      </c>
      <c r="AW19" s="157" t="str">
        <f>'経営状況・自己資本額、平均利益額'!X19</f>
        <v/>
      </c>
      <c r="AX19" s="157" t="str">
        <f>'経営状況・自己資本額、平均利益額'!Y19</f>
        <v/>
      </c>
      <c r="AY19" s="153"/>
    </row>
    <row r="20" spans="2:51" ht="18" customHeight="1" x14ac:dyDescent="0.15">
      <c r="B20" s="371"/>
      <c r="C20" s="511" t="s">
        <v>745</v>
      </c>
      <c r="D20" s="511"/>
      <c r="E20" s="511"/>
      <c r="F20" s="511"/>
      <c r="G20" s="511"/>
      <c r="H20" s="511"/>
      <c r="I20" s="511"/>
      <c r="J20" s="511"/>
      <c r="K20" s="511"/>
      <c r="L20" s="511"/>
      <c r="M20" s="511"/>
      <c r="N20" s="511"/>
      <c r="O20" s="511"/>
      <c r="P20" s="511"/>
      <c r="Q20" s="511"/>
      <c r="R20" s="511"/>
      <c r="S20" s="511"/>
      <c r="T20" s="511"/>
      <c r="U20" s="511"/>
      <c r="V20" s="511"/>
      <c r="W20" s="511"/>
      <c r="X20" s="511"/>
      <c r="Y20" s="539"/>
      <c r="Z20" s="534"/>
      <c r="AA20" s="534"/>
      <c r="AB20" s="534"/>
      <c r="AC20" s="534"/>
      <c r="AD20" s="534"/>
      <c r="AE20" s="534"/>
      <c r="AF20" s="535"/>
      <c r="AG20" s="368">
        <f>VLOOKUP(AM20,AM75:AQ76,5)</f>
        <v>4</v>
      </c>
      <c r="AH20" s="361">
        <f>MAX(AG18:AG20)</f>
        <v>5</v>
      </c>
      <c r="AJ20" s="248">
        <v>5</v>
      </c>
      <c r="AK20" s="248">
        <v>0</v>
      </c>
      <c r="AL20" s="37"/>
      <c r="AM20" s="18">
        <v>1</v>
      </c>
      <c r="AN20" s="1" t="str">
        <f>VLOOKUP(AM20,AM75:AN76,2)</f>
        <v>ユースエール</v>
      </c>
      <c r="AP20" s="19"/>
      <c r="AQ20" s="20"/>
      <c r="AT20" s="153"/>
      <c r="AU20" s="162" t="s">
        <v>71</v>
      </c>
      <c r="AV20" s="157" t="str">
        <f>'経営状況・自己資本額、平均利益額'!W20</f>
        <v/>
      </c>
      <c r="AW20" s="157" t="str">
        <f>'経営状況・自己資本額、平均利益額'!X20</f>
        <v/>
      </c>
      <c r="AX20" s="157" t="str">
        <f>'経営状況・自己資本額、平均利益額'!Y20</f>
        <v/>
      </c>
      <c r="AY20" s="153"/>
    </row>
    <row r="21" spans="2:51" ht="18" customHeight="1" x14ac:dyDescent="0.15">
      <c r="B21" s="106"/>
      <c r="C21" s="545" t="s">
        <v>746</v>
      </c>
      <c r="D21" s="545"/>
      <c r="E21" s="545"/>
      <c r="F21" s="545"/>
      <c r="G21" s="545"/>
      <c r="H21" s="545"/>
      <c r="I21" s="545"/>
      <c r="J21" s="545"/>
      <c r="K21" s="545"/>
      <c r="L21" s="545"/>
      <c r="M21" s="545"/>
      <c r="N21" s="545"/>
      <c r="O21" s="545"/>
      <c r="P21" s="545"/>
      <c r="Q21" s="545"/>
      <c r="R21" s="545"/>
      <c r="S21" s="545"/>
      <c r="T21" s="545"/>
      <c r="U21" s="545"/>
      <c r="V21" s="545"/>
      <c r="W21" s="545"/>
      <c r="X21" s="545"/>
      <c r="Y21" s="546"/>
      <c r="Z21" s="411"/>
      <c r="AA21" s="411"/>
      <c r="AB21" s="411"/>
      <c r="AC21" s="411"/>
      <c r="AD21" s="411"/>
      <c r="AE21" s="411"/>
      <c r="AF21" s="559"/>
      <c r="AG21" s="108">
        <f>VLOOKUP(AM21,AM78:AQ80,5)</f>
        <v>15</v>
      </c>
      <c r="AH21" s="362">
        <f>IF(AM2=2,0,AG21)</f>
        <v>15</v>
      </c>
      <c r="AJ21" s="248">
        <f>IF(AM2=2,0,15)</f>
        <v>15</v>
      </c>
      <c r="AK21" s="248">
        <v>0</v>
      </c>
      <c r="AL21" s="37"/>
      <c r="AM21" s="18">
        <v>1</v>
      </c>
      <c r="AN21" s="1" t="str">
        <f>VLOOKUP(AM21,AM78:AN80,2)</f>
        <v>全ての建設工事</v>
      </c>
      <c r="AP21" s="19"/>
      <c r="AQ21" s="20"/>
      <c r="AT21" s="153"/>
      <c r="AU21" s="144" t="s">
        <v>549</v>
      </c>
      <c r="AV21" s="157" t="str">
        <f>'経営状況・自己資本額、平均利益額'!W21</f>
        <v/>
      </c>
      <c r="AW21" s="157" t="str">
        <f>'経営状況・自己資本額、平均利益額'!X21</f>
        <v/>
      </c>
      <c r="AX21" s="157" t="str">
        <f>'経営状況・自己資本額、平均利益額'!Y21</f>
        <v/>
      </c>
      <c r="AY21" s="153"/>
    </row>
    <row r="22" spans="2:51" ht="18" customHeight="1" x14ac:dyDescent="0.15">
      <c r="B22" s="529" t="s">
        <v>747</v>
      </c>
      <c r="C22" s="530"/>
      <c r="D22" s="530"/>
      <c r="E22" s="530"/>
      <c r="F22" s="530"/>
      <c r="G22" s="530"/>
      <c r="H22" s="530"/>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6" t="s">
        <v>443</v>
      </c>
      <c r="AF22" s="536"/>
      <c r="AG22" s="109"/>
      <c r="AH22" s="357">
        <f>AH10+AH12+AH17+AH20+AH21</f>
        <v>74</v>
      </c>
      <c r="AJ22" s="248">
        <f>AJ10+AJ12+AJ17+AJ20+AJ21</f>
        <v>77</v>
      </c>
      <c r="AK22" s="248">
        <v>-120</v>
      </c>
      <c r="AL22" s="37"/>
      <c r="AQ22" s="171">
        <f>AH22</f>
        <v>74</v>
      </c>
      <c r="AR22" s="171">
        <f>AH22</f>
        <v>74</v>
      </c>
      <c r="AT22" s="153"/>
      <c r="AU22" s="162" t="s">
        <v>397</v>
      </c>
      <c r="AV22" s="157" t="str">
        <f>'経営状況・自己資本額、平均利益額'!W22</f>
        <v/>
      </c>
      <c r="AW22" s="157" t="str">
        <f>'経営状況・自己資本額、平均利益額'!X22</f>
        <v/>
      </c>
      <c r="AX22" s="157" t="str">
        <f>'経営状況・自己資本額、平均利益額'!Y22</f>
        <v/>
      </c>
      <c r="AY22" s="153"/>
    </row>
    <row r="23" spans="2:51" ht="18" customHeight="1" x14ac:dyDescent="0.15">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16"/>
      <c r="AF23" s="16"/>
      <c r="AG23" s="38"/>
      <c r="AJ23" s="16"/>
      <c r="AK23" s="16"/>
      <c r="AL23" s="37"/>
      <c r="AT23" s="153"/>
      <c r="AU23" s="162" t="s">
        <v>72</v>
      </c>
      <c r="AV23" s="157" t="str">
        <f>'経営状況・自己資本額、平均利益額'!W23</f>
        <v/>
      </c>
      <c r="AW23" s="157" t="str">
        <f>'経営状況・自己資本額、平均利益額'!X23</f>
        <v/>
      </c>
      <c r="AX23" s="157" t="str">
        <f>'経営状況・自己資本額、平均利益額'!Y23</f>
        <v/>
      </c>
      <c r="AY23" s="153"/>
    </row>
    <row r="24" spans="2:51" ht="18" customHeight="1" x14ac:dyDescent="0.15">
      <c r="B24" s="106"/>
      <c r="C24" s="523" t="s">
        <v>74</v>
      </c>
      <c r="D24" s="523"/>
      <c r="E24" s="523"/>
      <c r="F24" s="523"/>
      <c r="G24" s="523"/>
      <c r="H24" s="523"/>
      <c r="I24" s="523"/>
      <c r="J24" s="523"/>
      <c r="K24" s="523"/>
      <c r="L24" s="523"/>
      <c r="M24" s="523"/>
      <c r="N24" s="523"/>
      <c r="O24" s="523"/>
      <c r="P24" s="523"/>
      <c r="Q24" s="523"/>
      <c r="R24" s="523"/>
      <c r="S24" s="523"/>
      <c r="T24" s="523"/>
      <c r="U24" s="523"/>
      <c r="V24" s="523"/>
      <c r="W24" s="523"/>
      <c r="X24" s="523"/>
      <c r="Y24" s="523"/>
      <c r="Z24" s="509">
        <v>15</v>
      </c>
      <c r="AA24" s="509"/>
      <c r="AB24" s="509"/>
      <c r="AC24" s="509"/>
      <c r="AD24" s="509"/>
      <c r="AE24" s="513" t="s">
        <v>75</v>
      </c>
      <c r="AF24" s="513"/>
      <c r="AG24" s="358">
        <f>別表第六!C3</f>
        <v>20</v>
      </c>
      <c r="AH24" s="110"/>
      <c r="AJ24" s="16"/>
      <c r="AK24" s="16"/>
      <c r="AL24" s="37"/>
      <c r="AT24" s="153"/>
      <c r="AU24" s="162" t="s">
        <v>398</v>
      </c>
      <c r="AV24" s="157" t="str">
        <f>'経営状況・自己資本額、平均利益額'!W24</f>
        <v/>
      </c>
      <c r="AW24" s="157" t="str">
        <f>'経営状況・自己資本額、平均利益額'!X24</f>
        <v/>
      </c>
      <c r="AX24" s="157" t="str">
        <f>'経営状況・自己資本額、平均利益額'!Y24</f>
        <v/>
      </c>
      <c r="AY24" s="153"/>
    </row>
    <row r="25" spans="2:51" ht="18" customHeight="1" x14ac:dyDescent="0.15">
      <c r="B25" s="106"/>
      <c r="C25" s="523" t="s">
        <v>442</v>
      </c>
      <c r="D25" s="523"/>
      <c r="E25" s="523"/>
      <c r="F25" s="523"/>
      <c r="G25" s="523"/>
      <c r="H25" s="523"/>
      <c r="I25" s="523"/>
      <c r="J25" s="523"/>
      <c r="K25" s="523"/>
      <c r="L25" s="523"/>
      <c r="M25" s="523"/>
      <c r="N25" s="523"/>
      <c r="O25" s="523"/>
      <c r="P25" s="523"/>
      <c r="Q25" s="523"/>
      <c r="R25" s="523"/>
      <c r="S25" s="523"/>
      <c r="T25" s="523"/>
      <c r="U25" s="523"/>
      <c r="V25" s="523"/>
      <c r="W25" s="523"/>
      <c r="X25" s="523"/>
      <c r="Y25" s="528"/>
      <c r="Z25" s="411"/>
      <c r="AA25" s="411"/>
      <c r="AB25" s="411"/>
      <c r="AC25" s="411"/>
      <c r="AD25" s="411"/>
      <c r="AE25" s="548"/>
      <c r="AF25" s="549"/>
      <c r="AG25" s="359">
        <f>IF(AM25=1,-60,0)</f>
        <v>0</v>
      </c>
      <c r="AH25" s="105"/>
      <c r="AJ25" s="16"/>
      <c r="AK25" s="16"/>
      <c r="AL25" s="37"/>
      <c r="AM25" s="18">
        <v>2</v>
      </c>
      <c r="AN25" s="1" t="str">
        <f>VLOOKUP(AM25,AM58:AN59,2)</f>
        <v>無</v>
      </c>
      <c r="AT25" s="153"/>
      <c r="AU25" s="162" t="s">
        <v>73</v>
      </c>
      <c r="AV25" s="157" t="str">
        <f>'経営状況・自己資本額、平均利益額'!W25</f>
        <v/>
      </c>
      <c r="AW25" s="157" t="str">
        <f>'経営状況・自己資本額、平均利益額'!X25</f>
        <v/>
      </c>
      <c r="AX25" s="157" t="str">
        <f>'経営状況・自己資本額、平均利益額'!Y25</f>
        <v/>
      </c>
      <c r="AY25" s="153"/>
    </row>
    <row r="26" spans="2:51" ht="18" customHeight="1" x14ac:dyDescent="0.15">
      <c r="B26" s="524" t="s">
        <v>752</v>
      </c>
      <c r="C26" s="525"/>
      <c r="D26" s="525"/>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18" t="s">
        <v>459</v>
      </c>
      <c r="AF26" s="518"/>
      <c r="AG26" s="109"/>
      <c r="AH26" s="360">
        <f>SUM(AG24:AG25)</f>
        <v>20</v>
      </c>
      <c r="AJ26" s="248">
        <v>60</v>
      </c>
      <c r="AK26" s="248">
        <v>-60</v>
      </c>
      <c r="AL26" s="37"/>
      <c r="AQ26" s="172">
        <f>AH26</f>
        <v>20</v>
      </c>
      <c r="AR26" s="172">
        <f>AH26</f>
        <v>20</v>
      </c>
      <c r="AT26" s="153"/>
      <c r="AU26" s="162" t="s">
        <v>76</v>
      </c>
      <c r="AV26" s="157" t="str">
        <f>'経営状況・自己資本額、平均利益額'!W26</f>
        <v/>
      </c>
      <c r="AW26" s="157" t="str">
        <f>'経営状況・自己資本額、平均利益額'!X26</f>
        <v/>
      </c>
      <c r="AX26" s="157" t="str">
        <f>'経営状況・自己資本額、平均利益額'!Y26</f>
        <v/>
      </c>
      <c r="AY26" s="153"/>
    </row>
    <row r="27" spans="2:51" ht="18" customHeight="1" x14ac:dyDescent="0.15">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16"/>
      <c r="AF27" s="16"/>
      <c r="AG27" s="38"/>
      <c r="AJ27" s="16"/>
      <c r="AK27" s="16"/>
      <c r="AL27" s="37"/>
      <c r="AT27" s="153"/>
      <c r="AU27" s="163" t="s">
        <v>77</v>
      </c>
      <c r="AV27" s="157" t="str">
        <f>'経営状況・自己資本額、平均利益額'!W27</f>
        <v/>
      </c>
      <c r="AW27" s="157" t="str">
        <f>'経営状況・自己資本額、平均利益額'!X27</f>
        <v/>
      </c>
      <c r="AX27" s="157" t="str">
        <f>'経営状況・自己資本額、平均利益額'!Y27</f>
        <v/>
      </c>
      <c r="AY27" s="153"/>
    </row>
    <row r="28" spans="2:51" ht="18" customHeight="1" x14ac:dyDescent="0.15">
      <c r="B28" s="106"/>
      <c r="C28" s="523" t="s">
        <v>257</v>
      </c>
      <c r="D28" s="523"/>
      <c r="E28" s="523"/>
      <c r="F28" s="523"/>
      <c r="G28" s="523"/>
      <c r="H28" s="523"/>
      <c r="I28" s="523"/>
      <c r="J28" s="523"/>
      <c r="K28" s="523"/>
      <c r="L28" s="523"/>
      <c r="M28" s="523"/>
      <c r="N28" s="523"/>
      <c r="O28" s="523"/>
      <c r="P28" s="523"/>
      <c r="Q28" s="523"/>
      <c r="R28" s="523"/>
      <c r="S28" s="523"/>
      <c r="T28" s="523"/>
      <c r="U28" s="523"/>
      <c r="V28" s="523"/>
      <c r="W28" s="523"/>
      <c r="X28" s="523"/>
      <c r="Y28" s="528"/>
      <c r="Z28" s="411"/>
      <c r="AA28" s="411"/>
      <c r="AB28" s="411"/>
      <c r="AC28" s="411"/>
      <c r="AD28" s="411"/>
      <c r="AE28" s="411"/>
      <c r="AF28" s="411"/>
      <c r="AG28" s="108">
        <f>IF(AM28=1,AJ29,0)</f>
        <v>20</v>
      </c>
      <c r="AH28" s="113"/>
      <c r="AJ28" s="16"/>
      <c r="AK28" s="16"/>
      <c r="AL28" s="37"/>
      <c r="AM28" s="18">
        <v>1</v>
      </c>
      <c r="AN28" s="1" t="str">
        <f>VLOOKUP(AM28,AM58:AN59,2)</f>
        <v>有</v>
      </c>
      <c r="AT28" s="153"/>
      <c r="AU28" s="163" t="s">
        <v>78</v>
      </c>
      <c r="AV28" s="157" t="str">
        <f>'経営状況・自己資本額、平均利益額'!W28</f>
        <v/>
      </c>
      <c r="AW28" s="157" t="str">
        <f>'経営状況・自己資本額、平均利益額'!X28</f>
        <v/>
      </c>
      <c r="AX28" s="157" t="str">
        <f>'経営状況・自己資本額、平均利益額'!Y28</f>
        <v/>
      </c>
      <c r="AY28" s="153"/>
    </row>
    <row r="29" spans="2:51" ht="18" customHeight="1" x14ac:dyDescent="0.15">
      <c r="B29" s="524" t="s">
        <v>244</v>
      </c>
      <c r="C29" s="525"/>
      <c r="D29" s="525"/>
      <c r="E29" s="525"/>
      <c r="F29" s="525"/>
      <c r="G29" s="525"/>
      <c r="H29" s="525"/>
      <c r="I29" s="525"/>
      <c r="J29" s="525"/>
      <c r="K29" s="525"/>
      <c r="L29" s="525"/>
      <c r="M29" s="525"/>
      <c r="N29" s="525"/>
      <c r="O29" s="525"/>
      <c r="P29" s="525"/>
      <c r="Q29" s="525"/>
      <c r="R29" s="525"/>
      <c r="S29" s="525"/>
      <c r="T29" s="525"/>
      <c r="U29" s="525"/>
      <c r="V29" s="525"/>
      <c r="W29" s="525"/>
      <c r="X29" s="525"/>
      <c r="Y29" s="525"/>
      <c r="Z29" s="525"/>
      <c r="AA29" s="525"/>
      <c r="AB29" s="525"/>
      <c r="AC29" s="525"/>
      <c r="AD29" s="525"/>
      <c r="AE29" s="518" t="s">
        <v>460</v>
      </c>
      <c r="AF29" s="518"/>
      <c r="AG29" s="109"/>
      <c r="AH29" s="357">
        <f>AG28</f>
        <v>20</v>
      </c>
      <c r="AJ29" s="248">
        <v>20</v>
      </c>
      <c r="AK29" s="248">
        <v>0</v>
      </c>
      <c r="AL29" s="37"/>
      <c r="AQ29" s="171">
        <f>AH29</f>
        <v>20</v>
      </c>
      <c r="AR29" s="173">
        <f>AH29</f>
        <v>20</v>
      </c>
      <c r="AT29" s="153"/>
      <c r="AU29" s="163" t="s">
        <v>79</v>
      </c>
      <c r="AV29" s="157" t="str">
        <f>'経営状況・自己資本額、平均利益額'!W29</f>
        <v/>
      </c>
      <c r="AW29" s="157" t="str">
        <f>'経営状況・自己資本額、平均利益額'!X29</f>
        <v/>
      </c>
      <c r="AX29" s="157" t="str">
        <f>'経営状況・自己資本額、平均利益額'!Y29</f>
        <v/>
      </c>
      <c r="AY29" s="153"/>
    </row>
    <row r="30" spans="2:51" ht="18" customHeight="1" x14ac:dyDescent="0.15">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16"/>
      <c r="AF30" s="16"/>
      <c r="AG30" s="38"/>
      <c r="AJ30" s="16"/>
      <c r="AK30" s="16"/>
      <c r="AL30" s="37"/>
      <c r="AT30" s="153"/>
      <c r="AU30" s="163" t="s">
        <v>80</v>
      </c>
      <c r="AV30" s="157" t="str">
        <f>'経営状況・自己資本額、平均利益額'!W30</f>
        <v/>
      </c>
      <c r="AW30" s="157" t="str">
        <f>'経営状況・自己資本額、平均利益額'!X30</f>
        <v/>
      </c>
      <c r="AX30" s="157" t="str">
        <f>'経営状況・自己資本額、平均利益額'!Y30</f>
        <v/>
      </c>
      <c r="AY30" s="153"/>
    </row>
    <row r="31" spans="2:51" ht="18" customHeight="1" x14ac:dyDescent="0.15">
      <c r="B31" s="106"/>
      <c r="C31" s="523" t="s">
        <v>258</v>
      </c>
      <c r="D31" s="523"/>
      <c r="E31" s="523"/>
      <c r="F31" s="523"/>
      <c r="G31" s="523"/>
      <c r="H31" s="523"/>
      <c r="I31" s="523"/>
      <c r="J31" s="523"/>
      <c r="K31" s="523"/>
      <c r="L31" s="523"/>
      <c r="M31" s="523"/>
      <c r="N31" s="523"/>
      <c r="O31" s="523"/>
      <c r="P31" s="523"/>
      <c r="Q31" s="523"/>
      <c r="R31" s="523"/>
      <c r="S31" s="523"/>
      <c r="T31" s="523"/>
      <c r="U31" s="523"/>
      <c r="V31" s="523"/>
      <c r="W31" s="523"/>
      <c r="X31" s="523"/>
      <c r="Y31" s="528"/>
      <c r="Z31" s="411"/>
      <c r="AA31" s="411"/>
      <c r="AB31" s="411"/>
      <c r="AC31" s="411"/>
      <c r="AD31" s="411"/>
      <c r="AE31" s="411"/>
      <c r="AF31" s="411"/>
      <c r="AG31" s="108">
        <f>IF(AM31=1,-30,0)</f>
        <v>0</v>
      </c>
      <c r="AH31" s="113"/>
      <c r="AJ31" s="16"/>
      <c r="AK31" s="16"/>
      <c r="AL31" s="37"/>
      <c r="AM31" s="18">
        <v>2</v>
      </c>
      <c r="AN31" s="1" t="str">
        <f>VLOOKUP(AM31,AM58:AN59,2)</f>
        <v>無</v>
      </c>
      <c r="AT31" s="153"/>
      <c r="AU31" s="163" t="s">
        <v>1</v>
      </c>
      <c r="AV31" s="157" t="str">
        <f>'経営状況・自己資本額、平均利益額'!W31</f>
        <v/>
      </c>
      <c r="AW31" s="157" t="str">
        <f>'経営状況・自己資本額、平均利益額'!X31</f>
        <v/>
      </c>
      <c r="AX31" s="157" t="str">
        <f>'経営状況・自己資本額、平均利益額'!Y31</f>
        <v/>
      </c>
      <c r="AY31" s="153"/>
    </row>
    <row r="32" spans="2:51" ht="18" customHeight="1" x14ac:dyDescent="0.15">
      <c r="B32" s="106"/>
      <c r="C32" s="523" t="s">
        <v>259</v>
      </c>
      <c r="D32" s="523"/>
      <c r="E32" s="523"/>
      <c r="F32" s="523"/>
      <c r="G32" s="523"/>
      <c r="H32" s="523"/>
      <c r="I32" s="523"/>
      <c r="J32" s="523"/>
      <c r="K32" s="523"/>
      <c r="L32" s="523"/>
      <c r="M32" s="523"/>
      <c r="N32" s="523"/>
      <c r="O32" s="523"/>
      <c r="P32" s="523"/>
      <c r="Q32" s="523"/>
      <c r="R32" s="523"/>
      <c r="S32" s="523"/>
      <c r="T32" s="523"/>
      <c r="U32" s="523"/>
      <c r="V32" s="523"/>
      <c r="W32" s="523"/>
      <c r="X32" s="523"/>
      <c r="Y32" s="528"/>
      <c r="Z32" s="411"/>
      <c r="AA32" s="411"/>
      <c r="AB32" s="411"/>
      <c r="AC32" s="411"/>
      <c r="AD32" s="411"/>
      <c r="AE32" s="411"/>
      <c r="AF32" s="411"/>
      <c r="AG32" s="108">
        <f>IF(AM32=1,-15,0)</f>
        <v>0</v>
      </c>
      <c r="AH32" s="114"/>
      <c r="AJ32" s="16"/>
      <c r="AK32" s="16"/>
      <c r="AL32" s="37"/>
      <c r="AM32" s="18">
        <v>2</v>
      </c>
      <c r="AN32" s="1" t="str">
        <f>VLOOKUP(AM32,AM58:AN59,2)</f>
        <v>無</v>
      </c>
      <c r="AT32" s="153"/>
      <c r="AU32" s="163" t="s">
        <v>3</v>
      </c>
      <c r="AV32" s="157" t="str">
        <f>'経営状況・自己資本額、平均利益額'!W32</f>
        <v/>
      </c>
      <c r="AW32" s="157" t="str">
        <f>'経営状況・自己資本額、平均利益額'!X32</f>
        <v/>
      </c>
      <c r="AX32" s="157" t="str">
        <f>'経営状況・自己資本額、平均利益額'!Y32</f>
        <v/>
      </c>
      <c r="AY32" s="153"/>
    </row>
    <row r="33" spans="2:51" ht="18" customHeight="1" x14ac:dyDescent="0.15">
      <c r="B33" s="524" t="s">
        <v>245</v>
      </c>
      <c r="C33" s="525"/>
      <c r="D33" s="525"/>
      <c r="E33" s="525"/>
      <c r="F33" s="525"/>
      <c r="G33" s="525"/>
      <c r="H33" s="525"/>
      <c r="I33" s="525"/>
      <c r="J33" s="525"/>
      <c r="K33" s="525"/>
      <c r="L33" s="525"/>
      <c r="M33" s="525"/>
      <c r="N33" s="525"/>
      <c r="O33" s="525"/>
      <c r="P33" s="525"/>
      <c r="Q33" s="525"/>
      <c r="R33" s="525"/>
      <c r="S33" s="525"/>
      <c r="T33" s="525"/>
      <c r="U33" s="525"/>
      <c r="V33" s="525"/>
      <c r="W33" s="525"/>
      <c r="X33" s="525"/>
      <c r="Y33" s="525"/>
      <c r="Z33" s="525"/>
      <c r="AA33" s="525"/>
      <c r="AB33" s="525"/>
      <c r="AC33" s="525"/>
      <c r="AD33" s="525"/>
      <c r="AE33" s="518" t="s">
        <v>444</v>
      </c>
      <c r="AF33" s="518"/>
      <c r="AG33" s="109"/>
      <c r="AH33" s="357">
        <f>IF((AG31+AG32)&lt;-30,-30,(AG31+AG32))</f>
        <v>0</v>
      </c>
      <c r="AJ33" s="248">
        <v>0</v>
      </c>
      <c r="AK33" s="248">
        <v>-30</v>
      </c>
      <c r="AL33" s="37"/>
      <c r="AQ33" s="171">
        <f>AH33</f>
        <v>0</v>
      </c>
      <c r="AR33" s="171">
        <f>AH33</f>
        <v>0</v>
      </c>
      <c r="AT33" s="153"/>
      <c r="AU33" s="163" t="s">
        <v>5</v>
      </c>
      <c r="AV33" s="157" t="str">
        <f>'経営状況・自己資本額、平均利益額'!W33</f>
        <v/>
      </c>
      <c r="AW33" s="157" t="str">
        <f>'経営状況・自己資本額、平均利益額'!X33</f>
        <v/>
      </c>
      <c r="AX33" s="157" t="str">
        <f>'経営状況・自己資本額、平均利益額'!Y33</f>
        <v/>
      </c>
      <c r="AY33" s="153"/>
    </row>
    <row r="34" spans="2:51" ht="18" customHeight="1" x14ac:dyDescent="0.15">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16"/>
      <c r="AF34" s="16"/>
      <c r="AG34" s="38"/>
      <c r="AJ34" s="16"/>
      <c r="AK34" s="16"/>
      <c r="AL34" s="37"/>
      <c r="AT34" s="153"/>
      <c r="AU34" s="163" t="s">
        <v>7</v>
      </c>
      <c r="AV34" s="157" t="str">
        <f>'経営状況・自己資本額、平均利益額'!W34</f>
        <v/>
      </c>
      <c r="AW34" s="157" t="str">
        <f>'経営状況・自己資本額、平均利益額'!X34</f>
        <v/>
      </c>
      <c r="AX34" s="157" t="str">
        <f>'経営状況・自己資本額、平均利益額'!Y34</f>
        <v/>
      </c>
      <c r="AY34" s="153"/>
    </row>
    <row r="35" spans="2:51" ht="18" customHeight="1" x14ac:dyDescent="0.15">
      <c r="B35" s="103"/>
      <c r="C35" s="523" t="s">
        <v>246</v>
      </c>
      <c r="D35" s="523"/>
      <c r="E35" s="523"/>
      <c r="F35" s="523"/>
      <c r="G35" s="523"/>
      <c r="H35" s="523"/>
      <c r="I35" s="523"/>
      <c r="J35" s="523"/>
      <c r="K35" s="523"/>
      <c r="L35" s="523"/>
      <c r="M35" s="523"/>
      <c r="N35" s="523"/>
      <c r="O35" s="523"/>
      <c r="P35" s="523"/>
      <c r="Q35" s="523"/>
      <c r="R35" s="523"/>
      <c r="S35" s="523"/>
      <c r="T35" s="523"/>
      <c r="U35" s="523"/>
      <c r="V35" s="523"/>
      <c r="W35" s="523"/>
      <c r="X35" s="523"/>
      <c r="Y35" s="523"/>
      <c r="Z35" s="411"/>
      <c r="AA35" s="411"/>
      <c r="AB35" s="411"/>
      <c r="AC35" s="411"/>
      <c r="AD35" s="411"/>
      <c r="AE35" s="112"/>
      <c r="AF35" s="112"/>
      <c r="AG35" s="115">
        <f>IF(AM35=1,20,IF(AM35=2,10,IF(AM35=3,2,0)))</f>
        <v>0</v>
      </c>
      <c r="AH35" s="363">
        <f>AG35</f>
        <v>0</v>
      </c>
      <c r="AJ35" s="16"/>
      <c r="AK35" s="16"/>
      <c r="AL35" s="37"/>
      <c r="AM35" s="18">
        <v>4</v>
      </c>
      <c r="AN35" s="1" t="str">
        <f>VLOOKUP(AM35,AM58:AO61,3)</f>
        <v>無</v>
      </c>
      <c r="AQ35" s="21">
        <f>AH35</f>
        <v>0</v>
      </c>
      <c r="AR35" s="21">
        <f>AH35</f>
        <v>0</v>
      </c>
      <c r="AT35" s="153"/>
      <c r="AU35" s="163" t="s">
        <v>9</v>
      </c>
      <c r="AV35" s="157" t="str">
        <f>'経営状況・自己資本額、平均利益額'!W35</f>
        <v/>
      </c>
      <c r="AW35" s="157" t="str">
        <f>'経営状況・自己資本額、平均利益額'!X35</f>
        <v/>
      </c>
      <c r="AX35" s="157" t="str">
        <f>'経営状況・自己資本額、平均利益額'!Y35</f>
        <v/>
      </c>
      <c r="AY35" s="153"/>
    </row>
    <row r="36" spans="2:51" ht="18" customHeight="1" x14ac:dyDescent="0.15">
      <c r="B36" s="103"/>
      <c r="C36" s="523" t="s">
        <v>247</v>
      </c>
      <c r="D36" s="523"/>
      <c r="E36" s="523"/>
      <c r="F36" s="523"/>
      <c r="G36" s="523"/>
      <c r="H36" s="523"/>
      <c r="I36" s="523"/>
      <c r="J36" s="523"/>
      <c r="K36" s="523"/>
      <c r="L36" s="523"/>
      <c r="M36" s="523"/>
      <c r="N36" s="523"/>
      <c r="O36" s="523"/>
      <c r="P36" s="523"/>
      <c r="Q36" s="523"/>
      <c r="R36" s="523"/>
      <c r="S36" s="523"/>
      <c r="T36" s="523"/>
      <c r="U36" s="523"/>
      <c r="V36" s="523"/>
      <c r="W36" s="523"/>
      <c r="X36" s="523"/>
      <c r="Y36" s="523"/>
      <c r="Z36" s="509"/>
      <c r="AA36" s="509"/>
      <c r="AB36" s="509"/>
      <c r="AC36" s="509"/>
      <c r="AD36" s="509"/>
      <c r="AE36" s="513" t="s">
        <v>260</v>
      </c>
      <c r="AF36" s="513"/>
      <c r="AG36" s="116">
        <f>Z36*1</f>
        <v>0</v>
      </c>
      <c r="AH36" s="105"/>
      <c r="AJ36" s="16"/>
      <c r="AL36" s="37"/>
      <c r="AT36" s="153"/>
      <c r="AU36" s="163" t="s">
        <v>12</v>
      </c>
      <c r="AV36" s="157" t="str">
        <f>'経営状況・自己資本額、平均利益額'!W36</f>
        <v/>
      </c>
      <c r="AW36" s="157" t="str">
        <f>'経営状況・自己資本額、平均利益額'!X36</f>
        <v/>
      </c>
      <c r="AX36" s="157" t="str">
        <f>'経営状況・自己資本額、平均利益額'!Y36</f>
        <v/>
      </c>
      <c r="AY36" s="153"/>
    </row>
    <row r="37" spans="2:51" ht="18" customHeight="1" x14ac:dyDescent="0.15">
      <c r="B37" s="102"/>
      <c r="C37" s="527" t="s">
        <v>753</v>
      </c>
      <c r="D37" s="527"/>
      <c r="E37" s="527"/>
      <c r="F37" s="527"/>
      <c r="G37" s="527"/>
      <c r="H37" s="527"/>
      <c r="I37" s="527"/>
      <c r="J37" s="527"/>
      <c r="K37" s="527"/>
      <c r="L37" s="527"/>
      <c r="M37" s="527"/>
      <c r="N37" s="527"/>
      <c r="O37" s="527"/>
      <c r="P37" s="527"/>
      <c r="Q37" s="527"/>
      <c r="R37" s="527"/>
      <c r="S37" s="527"/>
      <c r="T37" s="527"/>
      <c r="U37" s="527"/>
      <c r="V37" s="527"/>
      <c r="W37" s="527"/>
      <c r="X37" s="527"/>
      <c r="Y37" s="527"/>
      <c r="Z37" s="526">
        <v>1</v>
      </c>
      <c r="AA37" s="526"/>
      <c r="AB37" s="526"/>
      <c r="AC37" s="526"/>
      <c r="AD37" s="526"/>
      <c r="AE37" s="503" t="s">
        <v>260</v>
      </c>
      <c r="AF37" s="503"/>
      <c r="AG37" s="117">
        <f>Z37*0.4</f>
        <v>0.4</v>
      </c>
      <c r="AH37" s="364">
        <f ca="1">別表第十一!C27</f>
        <v>6</v>
      </c>
      <c r="AJ37" s="16"/>
      <c r="AK37" s="16"/>
      <c r="AL37" s="37"/>
      <c r="AQ37" s="22">
        <f ca="1">別表第十一!C31</f>
        <v>6</v>
      </c>
      <c r="AR37" s="22">
        <f ca="1">別表第十一!C35</f>
        <v>6</v>
      </c>
      <c r="AT37" s="153"/>
      <c r="AU37" s="146" t="s">
        <v>533</v>
      </c>
      <c r="AV37" s="157" t="str">
        <f>'経営状況・自己資本額、平均利益額'!W37</f>
        <v/>
      </c>
      <c r="AW37" s="157" t="str">
        <f>'経営状況・自己資本額、平均利益額'!X37</f>
        <v/>
      </c>
      <c r="AX37" s="157" t="str">
        <f>'経営状況・自己資本額、平均利益額'!Y37</f>
        <v/>
      </c>
      <c r="AY37" s="153"/>
    </row>
    <row r="38" spans="2:51" ht="18" customHeight="1" x14ac:dyDescent="0.15">
      <c r="B38" s="524" t="s">
        <v>249</v>
      </c>
      <c r="C38" s="525"/>
      <c r="D38" s="525"/>
      <c r="E38" s="525"/>
      <c r="F38" s="525"/>
      <c r="G38" s="525"/>
      <c r="H38" s="525"/>
      <c r="I38" s="525"/>
      <c r="J38" s="525"/>
      <c r="K38" s="525"/>
      <c r="L38" s="525"/>
      <c r="M38" s="525"/>
      <c r="N38" s="525"/>
      <c r="O38" s="525"/>
      <c r="P38" s="525"/>
      <c r="Q38" s="525"/>
      <c r="R38" s="525"/>
      <c r="S38" s="525"/>
      <c r="T38" s="525"/>
      <c r="U38" s="525"/>
      <c r="V38" s="525"/>
      <c r="W38" s="525"/>
      <c r="X38" s="525"/>
      <c r="Y38" s="525"/>
      <c r="Z38" s="525"/>
      <c r="AA38" s="525"/>
      <c r="AB38" s="525"/>
      <c r="AC38" s="525"/>
      <c r="AD38" s="525"/>
      <c r="AE38" s="518" t="s">
        <v>445</v>
      </c>
      <c r="AF38" s="518"/>
      <c r="AG38" s="109"/>
      <c r="AH38" s="364">
        <f ca="1">AH35+AH37</f>
        <v>6</v>
      </c>
      <c r="AJ38" s="248">
        <v>30</v>
      </c>
      <c r="AK38" s="248">
        <v>0</v>
      </c>
      <c r="AL38" s="37"/>
      <c r="AQ38" s="171">
        <f ca="1">SUM(AQ35:AQ37)</f>
        <v>6</v>
      </c>
      <c r="AR38" s="171">
        <f ca="1">SUM(AR35:AR37)</f>
        <v>6</v>
      </c>
      <c r="AT38" s="153"/>
      <c r="AU38" s="269"/>
      <c r="AV38" s="270"/>
      <c r="AW38" s="270"/>
      <c r="AX38" s="270"/>
      <c r="AY38" s="153"/>
    </row>
    <row r="39" spans="2:51" ht="18" customHeight="1" x14ac:dyDescent="0.15">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16"/>
      <c r="AF39" s="16"/>
      <c r="AG39" s="38"/>
      <c r="AJ39" s="16"/>
      <c r="AK39" s="16"/>
      <c r="AL39" s="37"/>
    </row>
    <row r="40" spans="2:51" ht="18" customHeight="1" x14ac:dyDescent="0.15">
      <c r="B40" s="103"/>
      <c r="C40" s="523" t="s">
        <v>754</v>
      </c>
      <c r="D40" s="523"/>
      <c r="E40" s="523"/>
      <c r="F40" s="523"/>
      <c r="G40" s="523"/>
      <c r="H40" s="523"/>
      <c r="I40" s="523"/>
      <c r="J40" s="523"/>
      <c r="K40" s="523"/>
      <c r="L40" s="523"/>
      <c r="M40" s="523"/>
      <c r="N40" s="523"/>
      <c r="O40" s="523"/>
      <c r="P40" s="523"/>
      <c r="Q40" s="523"/>
      <c r="R40" s="523"/>
      <c r="S40" s="523"/>
      <c r="T40" s="523"/>
      <c r="U40" s="523"/>
      <c r="V40" s="523"/>
      <c r="W40" s="523"/>
      <c r="X40" s="523"/>
      <c r="Y40" s="523"/>
      <c r="Z40" s="519">
        <f>TRUNC((Z41+Z42)/2)</f>
        <v>0</v>
      </c>
      <c r="AA40" s="520"/>
      <c r="AB40" s="520"/>
      <c r="AC40" s="521"/>
      <c r="AD40" s="521"/>
      <c r="AE40" s="521"/>
      <c r="AF40" s="522"/>
      <c r="AG40" s="137" t="s">
        <v>263</v>
      </c>
      <c r="AH40" s="560" t="s">
        <v>424</v>
      </c>
      <c r="AJ40" s="17"/>
      <c r="AK40" s="16"/>
      <c r="AL40" s="37"/>
    </row>
    <row r="41" spans="2:51" ht="18" customHeight="1" x14ac:dyDescent="0.15">
      <c r="B41" s="103"/>
      <c r="C41" s="104"/>
      <c r="D41" s="568" t="s">
        <v>261</v>
      </c>
      <c r="E41" s="568"/>
      <c r="F41" s="568"/>
      <c r="G41" s="568"/>
      <c r="H41" s="568"/>
      <c r="I41" s="568"/>
      <c r="J41" s="568"/>
      <c r="K41" s="568"/>
      <c r="L41" s="568"/>
      <c r="M41" s="568"/>
      <c r="N41" s="568"/>
      <c r="O41" s="568"/>
      <c r="P41" s="568"/>
      <c r="Q41" s="568"/>
      <c r="R41" s="568"/>
      <c r="S41" s="568"/>
      <c r="T41" s="568"/>
      <c r="U41" s="568"/>
      <c r="V41" s="568"/>
      <c r="W41" s="568"/>
      <c r="X41" s="568"/>
      <c r="Y41" s="568"/>
      <c r="Z41" s="514"/>
      <c r="AA41" s="515"/>
      <c r="AB41" s="515"/>
      <c r="AC41" s="516"/>
      <c r="AD41" s="516"/>
      <c r="AE41" s="516"/>
      <c r="AF41" s="517"/>
      <c r="AG41" s="137" t="s">
        <v>263</v>
      </c>
      <c r="AH41" s="561"/>
      <c r="AJ41" s="16"/>
      <c r="AK41" s="16"/>
      <c r="AL41" s="37"/>
    </row>
    <row r="42" spans="2:51" ht="18" customHeight="1" x14ac:dyDescent="0.15">
      <c r="B42" s="103"/>
      <c r="C42" s="104"/>
      <c r="D42" s="568" t="s">
        <v>262</v>
      </c>
      <c r="E42" s="568"/>
      <c r="F42" s="568"/>
      <c r="G42" s="568"/>
      <c r="H42" s="568"/>
      <c r="I42" s="568"/>
      <c r="J42" s="568"/>
      <c r="K42" s="568"/>
      <c r="L42" s="568"/>
      <c r="M42" s="568"/>
      <c r="N42" s="568"/>
      <c r="O42" s="568"/>
      <c r="P42" s="568"/>
      <c r="Q42" s="568"/>
      <c r="R42" s="568"/>
      <c r="S42" s="568"/>
      <c r="T42" s="568"/>
      <c r="U42" s="568"/>
      <c r="V42" s="568"/>
      <c r="W42" s="568"/>
      <c r="X42" s="568"/>
      <c r="Y42" s="568"/>
      <c r="Z42" s="514"/>
      <c r="AA42" s="515"/>
      <c r="AB42" s="515"/>
      <c r="AC42" s="516"/>
      <c r="AD42" s="516"/>
      <c r="AE42" s="516"/>
      <c r="AF42" s="517"/>
      <c r="AG42" s="137" t="s">
        <v>263</v>
      </c>
      <c r="AH42" s="561"/>
      <c r="AJ42" s="16"/>
      <c r="AK42" s="16"/>
      <c r="AL42" s="37"/>
    </row>
    <row r="43" spans="2:51" ht="18" customHeight="1" x14ac:dyDescent="0.15">
      <c r="B43" s="524" t="s">
        <v>251</v>
      </c>
      <c r="C43" s="525"/>
      <c r="D43" s="525"/>
      <c r="E43" s="525"/>
      <c r="F43" s="525"/>
      <c r="G43" s="525"/>
      <c r="H43" s="525"/>
      <c r="I43" s="525"/>
      <c r="J43" s="525"/>
      <c r="K43" s="525"/>
      <c r="L43" s="525"/>
      <c r="M43" s="525"/>
      <c r="N43" s="525"/>
      <c r="O43" s="525"/>
      <c r="P43" s="525"/>
      <c r="Q43" s="525"/>
      <c r="R43" s="525"/>
      <c r="S43" s="525"/>
      <c r="T43" s="525"/>
      <c r="U43" s="525"/>
      <c r="V43" s="525"/>
      <c r="W43" s="525"/>
      <c r="X43" s="525"/>
      <c r="Y43" s="525"/>
      <c r="Z43" s="525"/>
      <c r="AA43" s="525"/>
      <c r="AB43" s="525"/>
      <c r="AC43" s="525"/>
      <c r="AD43" s="525"/>
      <c r="AE43" s="518" t="s">
        <v>446</v>
      </c>
      <c r="AF43" s="518"/>
      <c r="AG43" s="109"/>
      <c r="AH43" s="360">
        <f>別表第十二!C3</f>
        <v>0</v>
      </c>
      <c r="AJ43" s="248">
        <v>25</v>
      </c>
      <c r="AK43" s="248">
        <v>0</v>
      </c>
      <c r="AL43" s="37"/>
      <c r="AQ43" s="172">
        <f>AH43</f>
        <v>0</v>
      </c>
      <c r="AR43" s="172">
        <f>AH43</f>
        <v>0</v>
      </c>
    </row>
    <row r="44" spans="2:51" ht="18" customHeight="1" x14ac:dyDescent="0.15">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6"/>
      <c r="AF44" s="16"/>
      <c r="AG44" s="38"/>
      <c r="AH44" s="34"/>
      <c r="AJ44" s="17"/>
      <c r="AK44" s="16"/>
      <c r="AL44" s="37"/>
      <c r="AQ44" s="22"/>
      <c r="AR44" s="22"/>
    </row>
    <row r="45" spans="2:51" ht="18" customHeight="1" x14ac:dyDescent="0.15">
      <c r="B45" s="106"/>
      <c r="C45" s="523" t="s">
        <v>438</v>
      </c>
      <c r="D45" s="523"/>
      <c r="E45" s="523"/>
      <c r="F45" s="523"/>
      <c r="G45" s="523"/>
      <c r="H45" s="523"/>
      <c r="I45" s="523"/>
      <c r="J45" s="523"/>
      <c r="K45" s="523"/>
      <c r="L45" s="523"/>
      <c r="M45" s="523"/>
      <c r="N45" s="523"/>
      <c r="O45" s="523"/>
      <c r="P45" s="523"/>
      <c r="Q45" s="523"/>
      <c r="R45" s="523"/>
      <c r="S45" s="523"/>
      <c r="T45" s="523"/>
      <c r="U45" s="523"/>
      <c r="V45" s="523"/>
      <c r="W45" s="523"/>
      <c r="X45" s="523"/>
      <c r="Y45" s="523"/>
      <c r="Z45" s="564">
        <v>10</v>
      </c>
      <c r="AA45" s="565"/>
      <c r="AB45" s="565"/>
      <c r="AC45" s="566"/>
      <c r="AD45" s="567"/>
      <c r="AE45" s="562" t="s">
        <v>437</v>
      </c>
      <c r="AF45" s="563"/>
      <c r="AG45" s="111">
        <f>別表第十三!C3</f>
        <v>13</v>
      </c>
      <c r="AH45" s="110"/>
      <c r="AJ45" s="16"/>
      <c r="AK45" s="16"/>
      <c r="AL45" s="37"/>
      <c r="AQ45" s="22"/>
      <c r="AR45" s="22"/>
    </row>
    <row r="46" spans="2:51" ht="18" customHeight="1" x14ac:dyDescent="0.15">
      <c r="B46" s="524" t="s">
        <v>439</v>
      </c>
      <c r="C46" s="525"/>
      <c r="D46" s="525"/>
      <c r="E46" s="525"/>
      <c r="F46" s="525"/>
      <c r="G46" s="525"/>
      <c r="H46" s="525"/>
      <c r="I46" s="525"/>
      <c r="J46" s="525"/>
      <c r="K46" s="525"/>
      <c r="L46" s="525"/>
      <c r="M46" s="525"/>
      <c r="N46" s="525"/>
      <c r="O46" s="525"/>
      <c r="P46" s="525"/>
      <c r="Q46" s="525"/>
      <c r="R46" s="525"/>
      <c r="S46" s="525"/>
      <c r="T46" s="525"/>
      <c r="U46" s="525"/>
      <c r="V46" s="525"/>
      <c r="W46" s="525"/>
      <c r="X46" s="525"/>
      <c r="Y46" s="525"/>
      <c r="Z46" s="525"/>
      <c r="AA46" s="525"/>
      <c r="AB46" s="525"/>
      <c r="AC46" s="525"/>
      <c r="AD46" s="525"/>
      <c r="AE46" s="518" t="s">
        <v>448</v>
      </c>
      <c r="AF46" s="518"/>
      <c r="AG46" s="109"/>
      <c r="AH46" s="357">
        <f>AG45</f>
        <v>13</v>
      </c>
      <c r="AJ46" s="248">
        <v>15</v>
      </c>
      <c r="AK46" s="248">
        <v>0</v>
      </c>
      <c r="AL46" s="37"/>
      <c r="AQ46" s="172">
        <f>AH46</f>
        <v>13</v>
      </c>
      <c r="AR46" s="172">
        <f>AH46</f>
        <v>13</v>
      </c>
    </row>
    <row r="47" spans="2:51" ht="18" customHeight="1" x14ac:dyDescent="0.15">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6"/>
      <c r="AF47" s="16"/>
      <c r="AG47" s="38"/>
      <c r="AH47" s="34"/>
      <c r="AJ47" s="17"/>
      <c r="AK47" s="16"/>
      <c r="AL47" s="37"/>
      <c r="AQ47" s="22"/>
      <c r="AR47" s="22"/>
    </row>
    <row r="48" spans="2:51" ht="18" customHeight="1" x14ac:dyDescent="0.15">
      <c r="B48" s="106"/>
      <c r="C48" s="523" t="s">
        <v>755</v>
      </c>
      <c r="D48" s="523"/>
      <c r="E48" s="523"/>
      <c r="F48" s="523"/>
      <c r="G48" s="523"/>
      <c r="H48" s="523"/>
      <c r="I48" s="523"/>
      <c r="J48" s="523"/>
      <c r="K48" s="523"/>
      <c r="L48" s="523"/>
      <c r="M48" s="523"/>
      <c r="N48" s="523"/>
      <c r="O48" s="523"/>
      <c r="P48" s="523"/>
      <c r="Q48" s="523"/>
      <c r="R48" s="523"/>
      <c r="S48" s="523"/>
      <c r="T48" s="523"/>
      <c r="U48" s="523"/>
      <c r="V48" s="523"/>
      <c r="W48" s="523"/>
      <c r="X48" s="523"/>
      <c r="Y48" s="528"/>
      <c r="Z48" s="411"/>
      <c r="AA48" s="411"/>
      <c r="AB48" s="411"/>
      <c r="AC48" s="411"/>
      <c r="AD48" s="411"/>
      <c r="AE48" s="411"/>
      <c r="AF48" s="411"/>
      <c r="AG48" s="108">
        <f>IF(AM48=1,3,0)</f>
        <v>3</v>
      </c>
      <c r="AH48" s="365"/>
      <c r="AJ48" s="17"/>
      <c r="AK48" s="16"/>
      <c r="AL48" s="37"/>
      <c r="AM48" s="18">
        <v>1</v>
      </c>
      <c r="AN48" s="1" t="str">
        <f>VLOOKUP(AM48,AM58:AN59,2)</f>
        <v>有</v>
      </c>
      <c r="AQ48" s="22"/>
      <c r="AR48" s="22"/>
    </row>
    <row r="49" spans="2:44" ht="18" customHeight="1" x14ac:dyDescent="0.15">
      <c r="B49" s="106"/>
      <c r="C49" s="523" t="s">
        <v>440</v>
      </c>
      <c r="D49" s="523"/>
      <c r="E49" s="523"/>
      <c r="F49" s="523"/>
      <c r="G49" s="523"/>
      <c r="H49" s="523"/>
      <c r="I49" s="523"/>
      <c r="J49" s="523"/>
      <c r="K49" s="523"/>
      <c r="L49" s="523"/>
      <c r="M49" s="523"/>
      <c r="N49" s="523"/>
      <c r="O49" s="523"/>
      <c r="P49" s="523"/>
      <c r="Q49" s="523"/>
      <c r="R49" s="523"/>
      <c r="S49" s="523"/>
      <c r="T49" s="523"/>
      <c r="U49" s="523"/>
      <c r="V49" s="523"/>
      <c r="W49" s="523"/>
      <c r="X49" s="523"/>
      <c r="Y49" s="528"/>
      <c r="Z49" s="411"/>
      <c r="AA49" s="411"/>
      <c r="AB49" s="411"/>
      <c r="AC49" s="411"/>
      <c r="AD49" s="411"/>
      <c r="AE49" s="411"/>
      <c r="AF49" s="411"/>
      <c r="AG49" s="108">
        <f>IF(AM49=1,5,0)</f>
        <v>5</v>
      </c>
      <c r="AH49" s="114"/>
      <c r="AJ49" s="17"/>
      <c r="AK49" s="16"/>
      <c r="AL49" s="37"/>
      <c r="AM49" s="18">
        <v>1</v>
      </c>
      <c r="AN49" s="1" t="str">
        <f>VLOOKUP(AM49,AM58:AN59,2)</f>
        <v>有</v>
      </c>
      <c r="AQ49" s="22"/>
      <c r="AR49" s="22"/>
    </row>
    <row r="50" spans="2:44" ht="18" customHeight="1" x14ac:dyDescent="0.15">
      <c r="B50" s="106"/>
      <c r="C50" s="523" t="s">
        <v>441</v>
      </c>
      <c r="D50" s="523"/>
      <c r="E50" s="523"/>
      <c r="F50" s="523"/>
      <c r="G50" s="523"/>
      <c r="H50" s="523"/>
      <c r="I50" s="523"/>
      <c r="J50" s="523"/>
      <c r="K50" s="523"/>
      <c r="L50" s="523"/>
      <c r="M50" s="523"/>
      <c r="N50" s="523"/>
      <c r="O50" s="523"/>
      <c r="P50" s="523"/>
      <c r="Q50" s="523"/>
      <c r="R50" s="523"/>
      <c r="S50" s="523"/>
      <c r="T50" s="523"/>
      <c r="U50" s="523"/>
      <c r="V50" s="523"/>
      <c r="W50" s="523"/>
      <c r="X50" s="523"/>
      <c r="Y50" s="528"/>
      <c r="Z50" s="411"/>
      <c r="AA50" s="411"/>
      <c r="AB50" s="411"/>
      <c r="AC50" s="411"/>
      <c r="AD50" s="411"/>
      <c r="AE50" s="411"/>
      <c r="AF50" s="411"/>
      <c r="AG50" s="108">
        <f>IF(AM50=1,5,0)</f>
        <v>5</v>
      </c>
      <c r="AH50" s="114"/>
      <c r="AJ50" s="16"/>
      <c r="AK50" s="16"/>
      <c r="AL50" s="37"/>
      <c r="AM50" s="18">
        <v>1</v>
      </c>
      <c r="AN50" s="1" t="str">
        <f>VLOOKUP(AM50,AM58:AN59,2)</f>
        <v>有</v>
      </c>
      <c r="AQ50" s="22"/>
      <c r="AR50" s="22"/>
    </row>
    <row r="51" spans="2:44" ht="18" customHeight="1" thickBot="1" x14ac:dyDescent="0.2">
      <c r="B51" s="524" t="s">
        <v>765</v>
      </c>
      <c r="C51" s="525"/>
      <c r="D51" s="525"/>
      <c r="E51" s="525"/>
      <c r="F51" s="525"/>
      <c r="G51" s="525"/>
      <c r="H51" s="525"/>
      <c r="I51" s="525"/>
      <c r="J51" s="525"/>
      <c r="K51" s="525"/>
      <c r="L51" s="525"/>
      <c r="M51" s="525"/>
      <c r="N51" s="525"/>
      <c r="O51" s="525"/>
      <c r="P51" s="525"/>
      <c r="Q51" s="525"/>
      <c r="R51" s="525"/>
      <c r="S51" s="525"/>
      <c r="T51" s="525"/>
      <c r="U51" s="525"/>
      <c r="V51" s="525"/>
      <c r="W51" s="525"/>
      <c r="X51" s="525"/>
      <c r="Y51" s="525"/>
      <c r="Z51" s="525"/>
      <c r="AA51" s="525"/>
      <c r="AB51" s="525"/>
      <c r="AC51" s="525"/>
      <c r="AD51" s="525"/>
      <c r="AE51" s="518" t="s">
        <v>447</v>
      </c>
      <c r="AF51" s="518"/>
      <c r="AG51" s="109"/>
      <c r="AH51" s="357">
        <f>(MAX(AG48,AG50))+AG49</f>
        <v>10</v>
      </c>
      <c r="AJ51" s="248">
        <v>10</v>
      </c>
      <c r="AK51" s="248">
        <v>0</v>
      </c>
      <c r="AL51" s="37"/>
      <c r="AQ51" s="172">
        <f>AH51</f>
        <v>10</v>
      </c>
      <c r="AR51" s="172">
        <f>AH51</f>
        <v>10</v>
      </c>
    </row>
    <row r="52" spans="2:44" ht="18" customHeight="1" thickTop="1" thickBot="1" x14ac:dyDescent="0.2">
      <c r="B52" s="553" t="s">
        <v>0</v>
      </c>
      <c r="C52" s="554"/>
      <c r="D52" s="554"/>
      <c r="E52" s="554"/>
      <c r="F52" s="554"/>
      <c r="G52" s="554"/>
      <c r="H52" s="554"/>
      <c r="I52" s="554"/>
      <c r="J52" s="554"/>
      <c r="K52" s="554"/>
      <c r="L52" s="554"/>
      <c r="M52" s="554"/>
      <c r="N52" s="554"/>
      <c r="O52" s="554"/>
      <c r="P52" s="554"/>
      <c r="Q52" s="554"/>
      <c r="R52" s="554"/>
      <c r="S52" s="554"/>
      <c r="T52" s="554"/>
      <c r="U52" s="554"/>
      <c r="V52" s="554"/>
      <c r="W52" s="554"/>
      <c r="X52" s="554"/>
      <c r="Y52" s="554"/>
      <c r="Z52" s="554"/>
      <c r="AA52" s="554"/>
      <c r="AB52" s="554"/>
      <c r="AC52" s="554"/>
      <c r="AD52" s="554"/>
      <c r="AE52" s="555"/>
      <c r="AF52" s="555"/>
      <c r="AG52" s="312"/>
      <c r="AH52" s="313">
        <f>IF(基本事項!AM8=1,0,AM53)</f>
        <v>0</v>
      </c>
      <c r="AJ52" s="248">
        <f>IF(AM2=1,2073,2109)</f>
        <v>2073</v>
      </c>
      <c r="AK52" s="248">
        <f>IF(AM2=1,-1837,-1995)</f>
        <v>-1837</v>
      </c>
      <c r="AL52" s="16"/>
      <c r="AM52" s="21">
        <f ca="1">AH22+AH26+AH29+AH33+AH38+AH43+AH46+AH51</f>
        <v>143</v>
      </c>
      <c r="AN52" s="16"/>
      <c r="AO52" s="16"/>
      <c r="AP52" s="17" t="s">
        <v>114</v>
      </c>
      <c r="AQ52" s="21">
        <f ca="1">AQ22+AQ26+AQ29+AQ33+AQ38+AQ43+AQ46+AQ51</f>
        <v>143</v>
      </c>
      <c r="AR52" s="21">
        <f ca="1">AR22+AR26+AR29+AR33+AR38+AR43+AR46+AR51</f>
        <v>143</v>
      </c>
    </row>
    <row r="53" spans="2:44" ht="18" customHeight="1" thickTop="1" x14ac:dyDescent="0.15">
      <c r="B53" s="380"/>
      <c r="C53" s="380"/>
      <c r="D53" s="380"/>
      <c r="E53" s="380"/>
      <c r="F53" s="380"/>
      <c r="G53" s="380"/>
      <c r="H53" s="380"/>
      <c r="I53" s="380"/>
      <c r="J53" s="380"/>
      <c r="K53" s="380"/>
      <c r="L53" s="380"/>
      <c r="M53" s="380"/>
      <c r="N53" s="380"/>
      <c r="O53" s="380"/>
      <c r="P53" s="380"/>
      <c r="Q53" s="380"/>
      <c r="R53" s="380"/>
      <c r="S53" s="380"/>
      <c r="T53" s="380"/>
      <c r="U53" s="380"/>
      <c r="V53" s="380"/>
      <c r="W53" s="380"/>
      <c r="X53" s="380"/>
      <c r="Y53" s="380"/>
      <c r="Z53" s="380"/>
      <c r="AA53" s="380"/>
      <c r="AB53" s="380"/>
      <c r="AC53" s="380"/>
      <c r="AD53" s="380"/>
      <c r="AE53" s="16"/>
      <c r="AF53" s="16"/>
      <c r="AH53" s="34"/>
      <c r="AJ53" s="381"/>
      <c r="AK53" s="381"/>
      <c r="AL53" s="16"/>
      <c r="AM53" s="21">
        <f ca="1">IF(AM2=1,TRUNC(AM52*8.75),TRUNC(AM52*9.5))</f>
        <v>1251</v>
      </c>
      <c r="AN53" s="16"/>
      <c r="AO53" s="16"/>
      <c r="AP53" s="17" t="s">
        <v>763</v>
      </c>
      <c r="AQ53" s="21">
        <f ca="1">IF(AM2=1,TRUNC(AQ52*8.75),TRUNC(AQ52*9.5))</f>
        <v>1251</v>
      </c>
      <c r="AR53" s="21">
        <f ca="1">IF(AM2=1,TRUNC(AR52*8.75),TRUNC(AR52*9.5))</f>
        <v>1251</v>
      </c>
    </row>
    <row r="54" spans="2:44" ht="18" customHeight="1" x14ac:dyDescent="0.15">
      <c r="B54" s="183"/>
      <c r="AI54" s="16"/>
      <c r="AP54" s="17" t="s">
        <v>404</v>
      </c>
      <c r="AQ54" s="16">
        <f>IF(基本事項!AM8=1,0,AQ53)</f>
        <v>0</v>
      </c>
      <c r="AR54" s="16">
        <f>IF(基本事項!AM8=1,0,AR53)</f>
        <v>0</v>
      </c>
    </row>
    <row r="55" spans="2:44" ht="18" customHeight="1" x14ac:dyDescent="0.15">
      <c r="AI55" s="16"/>
      <c r="AM55" s="22"/>
    </row>
    <row r="56" spans="2:44" ht="18" customHeight="1" x14ac:dyDescent="0.15">
      <c r="AI56" s="16"/>
    </row>
    <row r="58" spans="2:44" ht="18" customHeight="1" x14ac:dyDescent="0.15">
      <c r="AM58" s="16">
        <v>1</v>
      </c>
      <c r="AN58" s="17" t="s">
        <v>253</v>
      </c>
      <c r="AO58" s="19" t="s">
        <v>255</v>
      </c>
      <c r="AP58" s="17" t="s">
        <v>521</v>
      </c>
      <c r="AQ58" s="19" t="s">
        <v>748</v>
      </c>
      <c r="AR58" s="20" t="s">
        <v>749</v>
      </c>
    </row>
    <row r="59" spans="2:44" ht="18" customHeight="1" x14ac:dyDescent="0.15">
      <c r="AM59" s="16">
        <v>2</v>
      </c>
      <c r="AN59" s="17" t="s">
        <v>252</v>
      </c>
      <c r="AO59" s="19" t="s">
        <v>256</v>
      </c>
      <c r="AP59" s="17" t="s">
        <v>522</v>
      </c>
      <c r="AQ59" s="19" t="s">
        <v>750</v>
      </c>
      <c r="AR59" s="20" t="s">
        <v>751</v>
      </c>
    </row>
    <row r="60" spans="2:44" ht="18" customHeight="1" x14ac:dyDescent="0.15">
      <c r="AM60" s="16">
        <v>3</v>
      </c>
      <c r="AN60" s="17" t="s">
        <v>254</v>
      </c>
      <c r="AO60" s="19" t="s">
        <v>265</v>
      </c>
    </row>
    <row r="61" spans="2:44" ht="18" customHeight="1" x14ac:dyDescent="0.15">
      <c r="AM61" s="16">
        <v>4</v>
      </c>
      <c r="AN61" s="17"/>
      <c r="AO61" s="19" t="s">
        <v>252</v>
      </c>
    </row>
    <row r="62" spans="2:44" ht="18" customHeight="1" x14ac:dyDescent="0.15">
      <c r="AN62" s="17"/>
      <c r="AO62" s="19"/>
    </row>
    <row r="63" spans="2:44" ht="18" customHeight="1" x14ac:dyDescent="0.15">
      <c r="AM63" s="1" t="s">
        <v>730</v>
      </c>
    </row>
    <row r="64" spans="2:44" ht="18" customHeight="1" x14ac:dyDescent="0.15">
      <c r="AM64" s="16">
        <v>1</v>
      </c>
      <c r="AN64" s="1" t="s">
        <v>733</v>
      </c>
      <c r="AQ64" s="16">
        <v>2</v>
      </c>
    </row>
    <row r="65" spans="39:43" ht="18" customHeight="1" x14ac:dyDescent="0.15">
      <c r="AM65" s="16">
        <v>2</v>
      </c>
      <c r="AN65" s="1" t="s">
        <v>734</v>
      </c>
      <c r="AQ65" s="16">
        <v>3</v>
      </c>
    </row>
    <row r="66" spans="39:43" ht="18" customHeight="1" x14ac:dyDescent="0.15">
      <c r="AM66" s="16">
        <v>3</v>
      </c>
      <c r="AN66" s="1" t="s">
        <v>735</v>
      </c>
      <c r="AQ66" s="16">
        <v>4</v>
      </c>
    </row>
    <row r="67" spans="39:43" ht="18" customHeight="1" x14ac:dyDescent="0.15">
      <c r="AM67" s="16">
        <v>4</v>
      </c>
      <c r="AN67" s="1" t="s">
        <v>736</v>
      </c>
      <c r="AQ67" s="16">
        <v>5</v>
      </c>
    </row>
    <row r="68" spans="39:43" ht="18" customHeight="1" x14ac:dyDescent="0.15">
      <c r="AM68" s="16">
        <v>5</v>
      </c>
      <c r="AN68" s="1" t="s">
        <v>731</v>
      </c>
      <c r="AQ68" s="16">
        <v>0</v>
      </c>
    </row>
    <row r="70" spans="39:43" ht="18" customHeight="1" x14ac:dyDescent="0.15">
      <c r="AM70" s="16">
        <v>1</v>
      </c>
      <c r="AN70" s="1" t="s">
        <v>737</v>
      </c>
      <c r="AQ70" s="16">
        <v>3</v>
      </c>
    </row>
    <row r="71" spans="39:43" ht="18" customHeight="1" x14ac:dyDescent="0.15">
      <c r="AM71" s="16">
        <v>2</v>
      </c>
      <c r="AN71" s="1" t="s">
        <v>738</v>
      </c>
      <c r="AQ71" s="16">
        <v>3</v>
      </c>
    </row>
    <row r="72" spans="39:43" ht="18" customHeight="1" x14ac:dyDescent="0.15">
      <c r="AM72" s="16">
        <v>3</v>
      </c>
      <c r="AN72" s="1" t="s">
        <v>739</v>
      </c>
      <c r="AQ72" s="16">
        <v>5</v>
      </c>
    </row>
    <row r="73" spans="39:43" ht="18" customHeight="1" x14ac:dyDescent="0.15">
      <c r="AM73" s="16">
        <v>4</v>
      </c>
      <c r="AN73" s="1" t="s">
        <v>522</v>
      </c>
      <c r="AQ73" s="16">
        <v>0</v>
      </c>
    </row>
    <row r="75" spans="39:43" ht="18" customHeight="1" x14ac:dyDescent="0.15">
      <c r="AM75" s="16">
        <v>1</v>
      </c>
      <c r="AN75" s="1" t="s">
        <v>740</v>
      </c>
      <c r="AQ75" s="16">
        <v>4</v>
      </c>
    </row>
    <row r="76" spans="39:43" ht="18" customHeight="1" x14ac:dyDescent="0.15">
      <c r="AM76" s="16">
        <v>2</v>
      </c>
      <c r="AN76" s="1" t="s">
        <v>732</v>
      </c>
      <c r="AQ76" s="16">
        <v>0</v>
      </c>
    </row>
    <row r="78" spans="39:43" ht="18" customHeight="1" x14ac:dyDescent="0.15">
      <c r="AM78" s="16">
        <v>1</v>
      </c>
      <c r="AN78" s="1" t="s">
        <v>741</v>
      </c>
      <c r="AQ78" s="16">
        <v>15</v>
      </c>
    </row>
    <row r="79" spans="39:43" ht="18" customHeight="1" x14ac:dyDescent="0.15">
      <c r="AM79" s="16">
        <v>2</v>
      </c>
      <c r="AN79" s="1" t="s">
        <v>742</v>
      </c>
      <c r="AQ79" s="16">
        <v>10</v>
      </c>
    </row>
    <row r="80" spans="39:43" ht="18" customHeight="1" x14ac:dyDescent="0.15">
      <c r="AM80" s="16">
        <v>3</v>
      </c>
      <c r="AN80" s="1" t="s">
        <v>732</v>
      </c>
      <c r="AQ80" s="16">
        <v>0</v>
      </c>
    </row>
    <row r="82" spans="39:45" ht="18" customHeight="1" x14ac:dyDescent="0.15">
      <c r="AM82" s="16">
        <v>1</v>
      </c>
      <c r="AN82" s="384" t="s">
        <v>758</v>
      </c>
      <c r="AO82" s="19" t="s">
        <v>777</v>
      </c>
      <c r="AP82" s="72" t="s">
        <v>761</v>
      </c>
      <c r="AQ82" s="17"/>
      <c r="AS82" s="16"/>
    </row>
    <row r="83" spans="39:45" ht="18" customHeight="1" x14ac:dyDescent="0.15">
      <c r="AM83" s="16">
        <v>2</v>
      </c>
      <c r="AN83" s="384" t="s">
        <v>759</v>
      </c>
      <c r="AO83" s="72" t="s">
        <v>778</v>
      </c>
      <c r="AP83" s="72" t="s">
        <v>762</v>
      </c>
      <c r="AQ83" s="19"/>
      <c r="AS83" s="16"/>
    </row>
  </sheetData>
  <sheetProtection algorithmName="SHA-512" hashValue="jwpkEw0QB3Ct2ackDEqzKD50nAz/EEKeeG5lqTU7rvofqbYzunHANJkTiaoQr4lvckRnyVx5lKTNrpKCVwL5tA==" saltValue="MPoG64FD+V2Xrk6FLOyZSg==" spinCount="100000" sheet="1" objects="1" scenarios="1" selectLockedCells="1"/>
  <mergeCells count="119">
    <mergeCell ref="AE20:AF20"/>
    <mergeCell ref="AE21:AF21"/>
    <mergeCell ref="AH40:AH42"/>
    <mergeCell ref="B43:AD43"/>
    <mergeCell ref="AE45:AF45"/>
    <mergeCell ref="C45:Y45"/>
    <mergeCell ref="Z45:AD45"/>
    <mergeCell ref="AE51:AF51"/>
    <mergeCell ref="AE43:AF43"/>
    <mergeCell ref="Z50:AD50"/>
    <mergeCell ref="AE50:AF50"/>
    <mergeCell ref="B51:AD51"/>
    <mergeCell ref="C50:Y50"/>
    <mergeCell ref="C48:Y48"/>
    <mergeCell ref="AE48:AF48"/>
    <mergeCell ref="B46:AD46"/>
    <mergeCell ref="D42:Y42"/>
    <mergeCell ref="Z48:AD48"/>
    <mergeCell ref="C49:Y49"/>
    <mergeCell ref="Z49:AD49"/>
    <mergeCell ref="AE49:AF49"/>
    <mergeCell ref="D41:Y41"/>
    <mergeCell ref="AE46:AF46"/>
    <mergeCell ref="C11:Y11"/>
    <mergeCell ref="C10:Y10"/>
    <mergeCell ref="Z35:AD35"/>
    <mergeCell ref="Z36:AD36"/>
    <mergeCell ref="Z32:AD32"/>
    <mergeCell ref="B52:AD52"/>
    <mergeCell ref="AE52:AF52"/>
    <mergeCell ref="AQ3:AR3"/>
    <mergeCell ref="AG4:AH4"/>
    <mergeCell ref="AE6:AF6"/>
    <mergeCell ref="Z25:AD25"/>
    <mergeCell ref="AE29:AF29"/>
    <mergeCell ref="AE5:AF5"/>
    <mergeCell ref="Z4:AF4"/>
    <mergeCell ref="AE8:AF8"/>
    <mergeCell ref="Z9:AD9"/>
    <mergeCell ref="AE24:AF24"/>
    <mergeCell ref="AE13:AF13"/>
    <mergeCell ref="AE14:AF14"/>
    <mergeCell ref="AE15:AF15"/>
    <mergeCell ref="AE16:AF16"/>
    <mergeCell ref="AE17:AF17"/>
    <mergeCell ref="AE18:AF18"/>
    <mergeCell ref="AE19:AF19"/>
    <mergeCell ref="Z15:AD15"/>
    <mergeCell ref="C16:Y16"/>
    <mergeCell ref="AE26:AF26"/>
    <mergeCell ref="Z11:AD11"/>
    <mergeCell ref="AE11:AF11"/>
    <mergeCell ref="C5:Y5"/>
    <mergeCell ref="B29:AD29"/>
    <mergeCell ref="C28:Y28"/>
    <mergeCell ref="C31:Y31"/>
    <mergeCell ref="Z20:AD20"/>
    <mergeCell ref="Z17:AD17"/>
    <mergeCell ref="C18:Y18"/>
    <mergeCell ref="C19:Y19"/>
    <mergeCell ref="C21:Y21"/>
    <mergeCell ref="C20:Y20"/>
    <mergeCell ref="Z13:AD13"/>
    <mergeCell ref="AE25:AF25"/>
    <mergeCell ref="Z18:AD18"/>
    <mergeCell ref="Z21:AD21"/>
    <mergeCell ref="Z10:AD10"/>
    <mergeCell ref="C25:Y25"/>
    <mergeCell ref="C9:Y9"/>
    <mergeCell ref="B26:AD26"/>
    <mergeCell ref="Z8:AD8"/>
    <mergeCell ref="B4:Y4"/>
    <mergeCell ref="C7:Y7"/>
    <mergeCell ref="C24:Y24"/>
    <mergeCell ref="Z31:AD31"/>
    <mergeCell ref="AU1:AX1"/>
    <mergeCell ref="Z6:AD6"/>
    <mergeCell ref="Z5:AD5"/>
    <mergeCell ref="AE10:AF10"/>
    <mergeCell ref="AE22:AF22"/>
    <mergeCell ref="C2:AH2"/>
    <mergeCell ref="C3:AH3"/>
    <mergeCell ref="AE28:AF28"/>
    <mergeCell ref="AE7:AF7"/>
    <mergeCell ref="C12:Y12"/>
    <mergeCell ref="Z12:AD12"/>
    <mergeCell ref="AE12:AF12"/>
    <mergeCell ref="Z28:AD28"/>
    <mergeCell ref="C13:Y13"/>
    <mergeCell ref="Z19:AD19"/>
    <mergeCell ref="Z7:AD7"/>
    <mergeCell ref="C6:Y6"/>
    <mergeCell ref="C14:Y14"/>
    <mergeCell ref="Z14:AD14"/>
    <mergeCell ref="C15:Y15"/>
    <mergeCell ref="C8:Y8"/>
    <mergeCell ref="Z24:AD24"/>
    <mergeCell ref="Z16:AD16"/>
    <mergeCell ref="C17:Y17"/>
    <mergeCell ref="V1:AH1"/>
    <mergeCell ref="AE36:AF36"/>
    <mergeCell ref="Z42:AF42"/>
    <mergeCell ref="AE37:AF37"/>
    <mergeCell ref="AE32:AF32"/>
    <mergeCell ref="AE33:AF33"/>
    <mergeCell ref="Z40:AF40"/>
    <mergeCell ref="C40:Y40"/>
    <mergeCell ref="B38:AD38"/>
    <mergeCell ref="AE38:AF38"/>
    <mergeCell ref="Z41:AF41"/>
    <mergeCell ref="C36:Y36"/>
    <mergeCell ref="Z37:AD37"/>
    <mergeCell ref="B33:AD33"/>
    <mergeCell ref="C35:Y35"/>
    <mergeCell ref="C37:Y37"/>
    <mergeCell ref="C32:Y32"/>
    <mergeCell ref="AE31:AF31"/>
    <mergeCell ref="B22:AD22"/>
    <mergeCell ref="AE9:AF9"/>
  </mergeCells>
  <phoneticPr fontId="2"/>
  <dataValidations count="6">
    <dataValidation type="whole" imeMode="halfAlpha" allowBlank="1" showErrorMessage="1" errorTitle="不正な入力！" error="０と１以外入力できません" prompt="０,１を入力" sqref="Z35:AB35 Z31:AD32 Z28:AD28 Z8:AD12 Z48:AD50" xr:uid="{00000000-0002-0000-0900-000000000000}">
      <formula1>0</formula1>
      <formula2>1</formula2>
    </dataValidation>
    <dataValidation type="whole" imeMode="disabled" operator="greaterThanOrEqual" allowBlank="1" showErrorMessage="1" errorTitle="不正な入力！" error="整数以外入力できません" prompt="整数入力" sqref="Z24:AD24 Z45:AD45" xr:uid="{00000000-0002-0000-0900-000001000000}">
      <formula1>0</formula1>
    </dataValidation>
    <dataValidation type="whole" imeMode="halfAlpha" allowBlank="1" showErrorMessage="1" errorTitle="不正な入力！" error="０と１と２以外入力できません" prompt="０,１,２を入力" sqref="Z25:AD25 Z5:AD7 Z18:AD21" xr:uid="{00000000-0002-0000-0900-000002000000}">
      <formula1>0</formula1>
      <formula2>2</formula2>
    </dataValidation>
    <dataValidation type="whole" imeMode="disabled" operator="greaterThanOrEqual" allowBlank="1" showInputMessage="1" showErrorMessage="1" sqref="Z36:AD37 Z41:AF42 Z13:AD13 Z15:AD17" xr:uid="{00000000-0002-0000-0900-000003000000}">
      <formula1>0</formula1>
    </dataValidation>
    <dataValidation type="whole" imeMode="disabled" operator="greaterThanOrEqual" showInputMessage="1" showErrorMessage="1" errorTitle="技術者数" error="技術者数は、1以上を入力してください！" promptTitle="技術者数！" prompt="1以上を入力_x000a_0や空白の場合、エラーになります" sqref="Z14:AD14" xr:uid="{696BDDAD-3FD6-4F3D-9752-34A483E9C307}">
      <formula1>1</formula1>
    </dataValidation>
    <dataValidation allowBlank="1" showErrorMessage="1" sqref="B1:C1 V1" xr:uid="{B1FC6C21-EFC1-4BBC-B5E8-C61F7DC9562B}"/>
  </dataValidations>
  <pageMargins left="0.70866141732283472" right="0.19685039370078741" top="0.19685039370078741" bottom="0.19685039370078741" header="0" footer="0"/>
  <pageSetup paperSize="9" scale="92"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6" r:id="rId4" name="Drop Down 4">
              <controlPr defaultSize="0" autoLine="0" autoPict="0">
                <anchor moveWithCells="1">
                  <from>
                    <xdr:col>25</xdr:col>
                    <xdr:colOff>0</xdr:colOff>
                    <xdr:row>4</xdr:row>
                    <xdr:rowOff>0</xdr:rowOff>
                  </from>
                  <to>
                    <xdr:col>32</xdr:col>
                    <xdr:colOff>0</xdr:colOff>
                    <xdr:row>5</xdr:row>
                    <xdr:rowOff>0</xdr:rowOff>
                  </to>
                </anchor>
              </controlPr>
            </control>
          </mc:Choice>
        </mc:AlternateContent>
        <mc:AlternateContent xmlns:mc="http://schemas.openxmlformats.org/markup-compatibility/2006">
          <mc:Choice Requires="x14">
            <control shapeId="18438" r:id="rId5" name="Drop Down 6">
              <controlPr defaultSize="0" autoLine="0" autoPict="0">
                <anchor moveWithCells="1">
                  <from>
                    <xdr:col>25</xdr:col>
                    <xdr:colOff>0</xdr:colOff>
                    <xdr:row>5</xdr:row>
                    <xdr:rowOff>0</xdr:rowOff>
                  </from>
                  <to>
                    <xdr:col>32</xdr:col>
                    <xdr:colOff>0</xdr:colOff>
                    <xdr:row>6</xdr:row>
                    <xdr:rowOff>0</xdr:rowOff>
                  </to>
                </anchor>
              </controlPr>
            </control>
          </mc:Choice>
        </mc:AlternateContent>
        <mc:AlternateContent xmlns:mc="http://schemas.openxmlformats.org/markup-compatibility/2006">
          <mc:Choice Requires="x14">
            <control shapeId="18439" r:id="rId6" name="Drop Down 7">
              <controlPr defaultSize="0" autoLine="0" autoPict="0">
                <anchor moveWithCells="1">
                  <from>
                    <xdr:col>25</xdr:col>
                    <xdr:colOff>0</xdr:colOff>
                    <xdr:row>7</xdr:row>
                    <xdr:rowOff>0</xdr:rowOff>
                  </from>
                  <to>
                    <xdr:col>32</xdr:col>
                    <xdr:colOff>0</xdr:colOff>
                    <xdr:row>8</xdr:row>
                    <xdr:rowOff>0</xdr:rowOff>
                  </to>
                </anchor>
              </controlPr>
            </control>
          </mc:Choice>
        </mc:AlternateContent>
        <mc:AlternateContent xmlns:mc="http://schemas.openxmlformats.org/markup-compatibility/2006">
          <mc:Choice Requires="x14">
            <control shapeId="18440" r:id="rId7" name="Drop Down 8">
              <controlPr defaultSize="0" autoLine="0" autoPict="0">
                <anchor moveWithCells="1">
                  <from>
                    <xdr:col>25</xdr:col>
                    <xdr:colOff>0</xdr:colOff>
                    <xdr:row>8</xdr:row>
                    <xdr:rowOff>0</xdr:rowOff>
                  </from>
                  <to>
                    <xdr:col>32</xdr:col>
                    <xdr:colOff>0</xdr:colOff>
                    <xdr:row>9</xdr:row>
                    <xdr:rowOff>0</xdr:rowOff>
                  </to>
                </anchor>
              </controlPr>
            </control>
          </mc:Choice>
        </mc:AlternateContent>
        <mc:AlternateContent xmlns:mc="http://schemas.openxmlformats.org/markup-compatibility/2006">
          <mc:Choice Requires="x14">
            <control shapeId="18441" r:id="rId8" name="Drop Down 9">
              <controlPr defaultSize="0" autoLine="0" autoPict="0">
                <anchor moveWithCells="1">
                  <from>
                    <xdr:col>25</xdr:col>
                    <xdr:colOff>0</xdr:colOff>
                    <xdr:row>9</xdr:row>
                    <xdr:rowOff>0</xdr:rowOff>
                  </from>
                  <to>
                    <xdr:col>32</xdr:col>
                    <xdr:colOff>0</xdr:colOff>
                    <xdr:row>10</xdr:row>
                    <xdr:rowOff>0</xdr:rowOff>
                  </to>
                </anchor>
              </controlPr>
            </control>
          </mc:Choice>
        </mc:AlternateContent>
        <mc:AlternateContent xmlns:mc="http://schemas.openxmlformats.org/markup-compatibility/2006">
          <mc:Choice Requires="x14">
            <control shapeId="18443" r:id="rId9" name="Drop Down 11">
              <controlPr defaultSize="0" autoLine="0" autoPict="0">
                <anchor moveWithCells="1">
                  <from>
                    <xdr:col>25</xdr:col>
                    <xdr:colOff>0</xdr:colOff>
                    <xdr:row>27</xdr:row>
                    <xdr:rowOff>0</xdr:rowOff>
                  </from>
                  <to>
                    <xdr:col>32</xdr:col>
                    <xdr:colOff>0</xdr:colOff>
                    <xdr:row>28</xdr:row>
                    <xdr:rowOff>0</xdr:rowOff>
                  </to>
                </anchor>
              </controlPr>
            </control>
          </mc:Choice>
        </mc:AlternateContent>
        <mc:AlternateContent xmlns:mc="http://schemas.openxmlformats.org/markup-compatibility/2006">
          <mc:Choice Requires="x14">
            <control shapeId="18444" r:id="rId10" name="Drop Down 12">
              <controlPr defaultSize="0" autoLine="0" autoPict="0">
                <anchor moveWithCells="1">
                  <from>
                    <xdr:col>25</xdr:col>
                    <xdr:colOff>0</xdr:colOff>
                    <xdr:row>30</xdr:row>
                    <xdr:rowOff>0</xdr:rowOff>
                  </from>
                  <to>
                    <xdr:col>32</xdr:col>
                    <xdr:colOff>0</xdr:colOff>
                    <xdr:row>31</xdr:row>
                    <xdr:rowOff>0</xdr:rowOff>
                  </to>
                </anchor>
              </controlPr>
            </control>
          </mc:Choice>
        </mc:AlternateContent>
        <mc:AlternateContent xmlns:mc="http://schemas.openxmlformats.org/markup-compatibility/2006">
          <mc:Choice Requires="x14">
            <control shapeId="18445" r:id="rId11" name="Drop Down 13">
              <controlPr defaultSize="0" autoLine="0" autoPict="0">
                <anchor moveWithCells="1">
                  <from>
                    <xdr:col>25</xdr:col>
                    <xdr:colOff>0</xdr:colOff>
                    <xdr:row>31</xdr:row>
                    <xdr:rowOff>0</xdr:rowOff>
                  </from>
                  <to>
                    <xdr:col>32</xdr:col>
                    <xdr:colOff>0</xdr:colOff>
                    <xdr:row>32</xdr:row>
                    <xdr:rowOff>0</xdr:rowOff>
                  </to>
                </anchor>
              </controlPr>
            </control>
          </mc:Choice>
        </mc:AlternateContent>
        <mc:AlternateContent xmlns:mc="http://schemas.openxmlformats.org/markup-compatibility/2006">
          <mc:Choice Requires="x14">
            <control shapeId="18446" r:id="rId12" name="Drop Down 14">
              <controlPr defaultSize="0" autoLine="0" autoPict="0">
                <anchor moveWithCells="1">
                  <from>
                    <xdr:col>20</xdr:col>
                    <xdr:colOff>152400</xdr:colOff>
                    <xdr:row>34</xdr:row>
                    <xdr:rowOff>0</xdr:rowOff>
                  </from>
                  <to>
                    <xdr:col>32</xdr:col>
                    <xdr:colOff>9525</xdr:colOff>
                    <xdr:row>34</xdr:row>
                    <xdr:rowOff>209550</xdr:rowOff>
                  </to>
                </anchor>
              </controlPr>
            </control>
          </mc:Choice>
        </mc:AlternateContent>
        <mc:AlternateContent xmlns:mc="http://schemas.openxmlformats.org/markup-compatibility/2006">
          <mc:Choice Requires="x14">
            <control shapeId="18449" r:id="rId13" name="Drop Down 17">
              <controlPr defaultSize="0" autoLine="0" autoPict="0">
                <anchor moveWithCells="1">
                  <from>
                    <xdr:col>25</xdr:col>
                    <xdr:colOff>0</xdr:colOff>
                    <xdr:row>24</xdr:row>
                    <xdr:rowOff>0</xdr:rowOff>
                  </from>
                  <to>
                    <xdr:col>32</xdr:col>
                    <xdr:colOff>0</xdr:colOff>
                    <xdr:row>25</xdr:row>
                    <xdr:rowOff>0</xdr:rowOff>
                  </to>
                </anchor>
              </controlPr>
            </control>
          </mc:Choice>
        </mc:AlternateContent>
        <mc:AlternateContent xmlns:mc="http://schemas.openxmlformats.org/markup-compatibility/2006">
          <mc:Choice Requires="x14">
            <control shapeId="18452" r:id="rId14" name="Drop Down 20">
              <controlPr defaultSize="0" autoLine="0" autoPict="0">
                <anchor moveWithCells="1">
                  <from>
                    <xdr:col>25</xdr:col>
                    <xdr:colOff>0</xdr:colOff>
                    <xdr:row>49</xdr:row>
                    <xdr:rowOff>0</xdr:rowOff>
                  </from>
                  <to>
                    <xdr:col>32</xdr:col>
                    <xdr:colOff>0</xdr:colOff>
                    <xdr:row>50</xdr:row>
                    <xdr:rowOff>0</xdr:rowOff>
                  </to>
                </anchor>
              </controlPr>
            </control>
          </mc:Choice>
        </mc:AlternateContent>
        <mc:AlternateContent xmlns:mc="http://schemas.openxmlformats.org/markup-compatibility/2006">
          <mc:Choice Requires="x14">
            <control shapeId="18453" r:id="rId15" name="Drop Down 21">
              <controlPr defaultSize="0" autoLine="0" autoPict="0">
                <anchor moveWithCells="1">
                  <from>
                    <xdr:col>25</xdr:col>
                    <xdr:colOff>0</xdr:colOff>
                    <xdr:row>6</xdr:row>
                    <xdr:rowOff>0</xdr:rowOff>
                  </from>
                  <to>
                    <xdr:col>32</xdr:col>
                    <xdr:colOff>0</xdr:colOff>
                    <xdr:row>7</xdr:row>
                    <xdr:rowOff>0</xdr:rowOff>
                  </to>
                </anchor>
              </controlPr>
            </control>
          </mc:Choice>
        </mc:AlternateContent>
        <mc:AlternateContent xmlns:mc="http://schemas.openxmlformats.org/markup-compatibility/2006">
          <mc:Choice Requires="x14">
            <control shapeId="18466" r:id="rId16" name="Drop Down 34">
              <controlPr defaultSize="0" autoLine="0" autoPict="0">
                <anchor moveWithCells="1">
                  <from>
                    <xdr:col>25</xdr:col>
                    <xdr:colOff>0</xdr:colOff>
                    <xdr:row>10</xdr:row>
                    <xdr:rowOff>0</xdr:rowOff>
                  </from>
                  <to>
                    <xdr:col>32</xdr:col>
                    <xdr:colOff>0</xdr:colOff>
                    <xdr:row>11</xdr:row>
                    <xdr:rowOff>0</xdr:rowOff>
                  </to>
                </anchor>
              </controlPr>
            </control>
          </mc:Choice>
        </mc:AlternateContent>
        <mc:AlternateContent xmlns:mc="http://schemas.openxmlformats.org/markup-compatibility/2006">
          <mc:Choice Requires="x14">
            <control shapeId="18467" r:id="rId17" name="Drop Down 35">
              <controlPr defaultSize="0" autoLine="0" autoPict="0">
                <anchor moveWithCells="1">
                  <from>
                    <xdr:col>25</xdr:col>
                    <xdr:colOff>0</xdr:colOff>
                    <xdr:row>11</xdr:row>
                    <xdr:rowOff>0</xdr:rowOff>
                  </from>
                  <to>
                    <xdr:col>32</xdr:col>
                    <xdr:colOff>0</xdr:colOff>
                    <xdr:row>12</xdr:row>
                    <xdr:rowOff>0</xdr:rowOff>
                  </to>
                </anchor>
              </controlPr>
            </control>
          </mc:Choice>
        </mc:AlternateContent>
        <mc:AlternateContent xmlns:mc="http://schemas.openxmlformats.org/markup-compatibility/2006">
          <mc:Choice Requires="x14">
            <control shapeId="18473" r:id="rId18" name="Drop Down 41">
              <controlPr defaultSize="0" autoLine="0" autoPict="0">
                <anchor moveWithCells="1">
                  <from>
                    <xdr:col>25</xdr:col>
                    <xdr:colOff>0</xdr:colOff>
                    <xdr:row>17</xdr:row>
                    <xdr:rowOff>0</xdr:rowOff>
                  </from>
                  <to>
                    <xdr:col>32</xdr:col>
                    <xdr:colOff>0</xdr:colOff>
                    <xdr:row>18</xdr:row>
                    <xdr:rowOff>0</xdr:rowOff>
                  </to>
                </anchor>
              </controlPr>
            </control>
          </mc:Choice>
        </mc:AlternateContent>
        <mc:AlternateContent xmlns:mc="http://schemas.openxmlformats.org/markup-compatibility/2006">
          <mc:Choice Requires="x14">
            <control shapeId="18474" r:id="rId19" name="Drop Down 42">
              <controlPr defaultSize="0" autoLine="0" autoPict="0">
                <anchor moveWithCells="1">
                  <from>
                    <xdr:col>25</xdr:col>
                    <xdr:colOff>0</xdr:colOff>
                    <xdr:row>18</xdr:row>
                    <xdr:rowOff>0</xdr:rowOff>
                  </from>
                  <to>
                    <xdr:col>32</xdr:col>
                    <xdr:colOff>0</xdr:colOff>
                    <xdr:row>19</xdr:row>
                    <xdr:rowOff>0</xdr:rowOff>
                  </to>
                </anchor>
              </controlPr>
            </control>
          </mc:Choice>
        </mc:AlternateContent>
        <mc:AlternateContent xmlns:mc="http://schemas.openxmlformats.org/markup-compatibility/2006">
          <mc:Choice Requires="x14">
            <control shapeId="18476" r:id="rId20" name="Drop Down 44">
              <controlPr defaultSize="0" autoLine="0" autoPict="0">
                <anchor moveWithCells="1">
                  <from>
                    <xdr:col>25</xdr:col>
                    <xdr:colOff>0</xdr:colOff>
                    <xdr:row>19</xdr:row>
                    <xdr:rowOff>0</xdr:rowOff>
                  </from>
                  <to>
                    <xdr:col>32</xdr:col>
                    <xdr:colOff>0</xdr:colOff>
                    <xdr:row>20</xdr:row>
                    <xdr:rowOff>0</xdr:rowOff>
                  </to>
                </anchor>
              </controlPr>
            </control>
          </mc:Choice>
        </mc:AlternateContent>
        <mc:AlternateContent xmlns:mc="http://schemas.openxmlformats.org/markup-compatibility/2006">
          <mc:Choice Requires="x14">
            <control shapeId="18479" r:id="rId21" name="Drop Down 47">
              <controlPr defaultSize="0" autoLine="0" autoPict="0">
                <anchor moveWithCells="1">
                  <from>
                    <xdr:col>25</xdr:col>
                    <xdr:colOff>0</xdr:colOff>
                    <xdr:row>20</xdr:row>
                    <xdr:rowOff>0</xdr:rowOff>
                  </from>
                  <to>
                    <xdr:col>32</xdr:col>
                    <xdr:colOff>0</xdr:colOff>
                    <xdr:row>21</xdr:row>
                    <xdr:rowOff>0</xdr:rowOff>
                  </to>
                </anchor>
              </controlPr>
            </control>
          </mc:Choice>
        </mc:AlternateContent>
        <mc:AlternateContent xmlns:mc="http://schemas.openxmlformats.org/markup-compatibility/2006">
          <mc:Choice Requires="x14">
            <control shapeId="18451" r:id="rId22" name="Drop Down 19">
              <controlPr defaultSize="0" autoLine="0" autoPict="0">
                <anchor moveWithCells="1">
                  <from>
                    <xdr:col>25</xdr:col>
                    <xdr:colOff>0</xdr:colOff>
                    <xdr:row>47</xdr:row>
                    <xdr:rowOff>0</xdr:rowOff>
                  </from>
                  <to>
                    <xdr:col>32</xdr:col>
                    <xdr:colOff>0</xdr:colOff>
                    <xdr:row>48</xdr:row>
                    <xdr:rowOff>0</xdr:rowOff>
                  </to>
                </anchor>
              </controlPr>
            </control>
          </mc:Choice>
        </mc:AlternateContent>
        <mc:AlternateContent xmlns:mc="http://schemas.openxmlformats.org/markup-compatibility/2006">
          <mc:Choice Requires="x14">
            <control shapeId="18480" r:id="rId23" name="Drop Down 48">
              <controlPr defaultSize="0" autoLine="0" autoPict="0">
                <anchor moveWithCells="1">
                  <from>
                    <xdr:col>25</xdr:col>
                    <xdr:colOff>0</xdr:colOff>
                    <xdr:row>48</xdr:row>
                    <xdr:rowOff>0</xdr:rowOff>
                  </from>
                  <to>
                    <xdr:col>32</xdr:col>
                    <xdr:colOff>0</xdr:colOff>
                    <xdr:row>49</xdr:row>
                    <xdr:rowOff>0</xdr:rowOff>
                  </to>
                </anchor>
              </controlPr>
            </control>
          </mc:Choice>
        </mc:AlternateContent>
        <mc:AlternateContent xmlns:mc="http://schemas.openxmlformats.org/markup-compatibility/2006">
          <mc:Choice Requires="x14">
            <control shapeId="18482" r:id="rId24" name="Drop Down 50">
              <controlPr defaultSize="0" autoLine="0" autoPict="0">
                <anchor moveWithCells="1">
                  <from>
                    <xdr:col>15</xdr:col>
                    <xdr:colOff>123825</xdr:colOff>
                    <xdr:row>0</xdr:row>
                    <xdr:rowOff>28575</xdr:rowOff>
                  </from>
                  <to>
                    <xdr:col>19</xdr:col>
                    <xdr:colOff>85725</xdr:colOff>
                    <xdr:row>1</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P67"/>
  <sheetViews>
    <sheetView showGridLines="0" showRowColHeaders="0" zoomScale="120" zoomScaleNormal="120" workbookViewId="0">
      <selection activeCell="CP8" sqref="CP8:CQ8"/>
    </sheetView>
  </sheetViews>
  <sheetFormatPr defaultColWidth="1" defaultRowHeight="10.5" customHeight="1" x14ac:dyDescent="0.15"/>
  <cols>
    <col min="1" max="1" width="1" style="184"/>
    <col min="2" max="76" width="1" style="185"/>
    <col min="77" max="78" width="1" style="187"/>
    <col min="79" max="16384" width="1" style="185"/>
  </cols>
  <sheetData>
    <row r="1" spans="2:146" ht="10.5" customHeight="1" x14ac:dyDescent="0.15">
      <c r="D1" s="700" t="s">
        <v>405</v>
      </c>
      <c r="E1" s="700"/>
      <c r="F1" s="700"/>
      <c r="G1" s="700"/>
      <c r="H1" s="700"/>
      <c r="I1" s="700"/>
      <c r="J1" s="700"/>
      <c r="K1" s="700"/>
      <c r="L1" s="700"/>
      <c r="M1" s="700"/>
      <c r="N1" s="700"/>
      <c r="O1" s="700"/>
      <c r="P1" s="700"/>
      <c r="Q1" s="700"/>
      <c r="R1" s="700"/>
      <c r="S1" s="700"/>
      <c r="T1" s="700"/>
      <c r="U1" s="700"/>
      <c r="V1" s="700"/>
    </row>
    <row r="2" spans="2:146" ht="10.5" customHeight="1" x14ac:dyDescent="0.15">
      <c r="D2" s="700"/>
      <c r="E2" s="700"/>
      <c r="F2" s="700"/>
      <c r="G2" s="700"/>
      <c r="H2" s="700"/>
      <c r="I2" s="700"/>
      <c r="J2" s="700"/>
      <c r="K2" s="700"/>
      <c r="L2" s="700"/>
      <c r="M2" s="700"/>
      <c r="N2" s="700"/>
      <c r="O2" s="700"/>
      <c r="P2" s="700"/>
      <c r="Q2" s="700"/>
      <c r="R2" s="700"/>
      <c r="S2" s="700"/>
      <c r="T2" s="700"/>
      <c r="U2" s="700"/>
      <c r="V2" s="700"/>
      <c r="AY2" s="672" t="s">
        <v>168</v>
      </c>
      <c r="AZ2" s="672"/>
      <c r="BA2" s="672"/>
      <c r="BB2" s="672"/>
      <c r="BC2" s="672"/>
      <c r="BD2" s="672"/>
      <c r="BE2" s="672"/>
      <c r="BF2" s="672"/>
      <c r="BG2" s="672"/>
      <c r="BH2" s="672"/>
      <c r="BI2" s="672"/>
      <c r="BJ2" s="672"/>
      <c r="BK2" s="672"/>
      <c r="BL2" s="672"/>
      <c r="BM2" s="672"/>
      <c r="BN2" s="672"/>
      <c r="BO2" s="672"/>
      <c r="BP2" s="672"/>
      <c r="BQ2" s="672"/>
      <c r="BR2" s="672"/>
      <c r="BS2" s="672"/>
      <c r="BT2" s="672"/>
      <c r="BU2" s="672"/>
      <c r="BV2" s="672"/>
      <c r="BW2" s="672"/>
      <c r="BX2" s="672"/>
      <c r="BY2" s="672"/>
      <c r="BZ2" s="672"/>
      <c r="CA2" s="672"/>
      <c r="CB2" s="672"/>
      <c r="CC2" s="673"/>
      <c r="CD2" s="673"/>
      <c r="CE2" s="673"/>
      <c r="CF2" s="673"/>
    </row>
    <row r="3" spans="2:146" ht="10.5" customHeight="1" x14ac:dyDescent="0.15">
      <c r="D3" s="700" t="s">
        <v>42</v>
      </c>
      <c r="E3" s="700"/>
      <c r="F3" s="700"/>
      <c r="G3" s="700"/>
      <c r="H3" s="700"/>
      <c r="I3" s="700"/>
      <c r="J3" s="700"/>
      <c r="K3" s="700"/>
      <c r="L3" s="700"/>
      <c r="M3" s="700"/>
      <c r="N3" s="700"/>
      <c r="O3" s="700"/>
      <c r="P3" s="700"/>
      <c r="Q3" s="700"/>
      <c r="R3" s="700"/>
      <c r="S3" s="700"/>
      <c r="T3" s="700"/>
      <c r="U3" s="700"/>
      <c r="V3" s="700"/>
      <c r="AY3" s="672" t="s">
        <v>169</v>
      </c>
      <c r="AZ3" s="672"/>
      <c r="BA3" s="672"/>
      <c r="BB3" s="672"/>
      <c r="BC3" s="672"/>
      <c r="BD3" s="672"/>
      <c r="BE3" s="672"/>
      <c r="BF3" s="672"/>
      <c r="BG3" s="672"/>
      <c r="BH3" s="672"/>
      <c r="BI3" s="672"/>
      <c r="BJ3" s="672"/>
      <c r="BK3" s="672"/>
      <c r="BL3" s="672"/>
      <c r="BM3" s="672"/>
      <c r="BN3" s="672"/>
      <c r="BO3" s="672"/>
      <c r="BP3" s="672"/>
      <c r="BQ3" s="672"/>
      <c r="BR3" s="672"/>
      <c r="BS3" s="672"/>
      <c r="BT3" s="672"/>
      <c r="BU3" s="672"/>
      <c r="BV3" s="672"/>
      <c r="BW3" s="672"/>
      <c r="BX3" s="672"/>
      <c r="BY3" s="672"/>
      <c r="BZ3" s="672"/>
      <c r="CA3" s="672"/>
      <c r="CB3" s="672"/>
      <c r="CC3" s="673"/>
      <c r="CD3" s="673"/>
      <c r="CE3" s="673"/>
      <c r="CF3" s="673"/>
    </row>
    <row r="4" spans="2:146" ht="10.5" customHeight="1" x14ac:dyDescent="0.15">
      <c r="D4" s="700"/>
      <c r="E4" s="700"/>
      <c r="F4" s="700"/>
      <c r="G4" s="700"/>
      <c r="H4" s="700"/>
      <c r="I4" s="700"/>
      <c r="J4" s="700"/>
      <c r="K4" s="700"/>
      <c r="L4" s="700"/>
      <c r="M4" s="700"/>
      <c r="N4" s="700"/>
      <c r="O4" s="700"/>
      <c r="P4" s="700"/>
      <c r="Q4" s="700"/>
      <c r="R4" s="700"/>
      <c r="S4" s="700"/>
      <c r="T4" s="700"/>
      <c r="U4" s="700"/>
      <c r="V4" s="700"/>
      <c r="BY4" s="185"/>
      <c r="BZ4" s="185"/>
      <c r="CM4" s="185" t="s">
        <v>283</v>
      </c>
      <c r="DD4" s="618" t="s">
        <v>174</v>
      </c>
      <c r="DE4" s="618"/>
      <c r="DF4" s="618"/>
      <c r="DG4" s="618"/>
      <c r="DH4" s="618"/>
      <c r="DI4" s="618"/>
      <c r="DJ4" s="618"/>
      <c r="DK4" s="618"/>
      <c r="DL4" s="618"/>
    </row>
    <row r="5" spans="2:146" ht="10.5" customHeight="1" x14ac:dyDescent="0.15">
      <c r="D5" s="618" t="s">
        <v>285</v>
      </c>
      <c r="E5" s="618"/>
      <c r="F5" s="618" t="str">
        <f>基本事項!AN12</f>
        <v>038-2324</v>
      </c>
      <c r="G5" s="618"/>
      <c r="H5" s="618"/>
      <c r="I5" s="618"/>
      <c r="J5" s="618"/>
      <c r="K5" s="618"/>
      <c r="L5" s="618"/>
      <c r="M5" s="618"/>
      <c r="N5" s="618"/>
      <c r="O5" s="618"/>
      <c r="BJ5" s="185" t="s">
        <v>183</v>
      </c>
      <c r="BS5" s="569" t="str">
        <f>基本事項!AP14</f>
        <v>00</v>
      </c>
      <c r="BT5" s="569"/>
      <c r="BU5" s="569"/>
      <c r="BV5" s="185" t="s">
        <v>271</v>
      </c>
      <c r="BW5" s="664" t="str">
        <f>基本事項!P14&amp;""</f>
        <v>003999</v>
      </c>
      <c r="BX5" s="664"/>
      <c r="BY5" s="664"/>
      <c r="BZ5" s="664"/>
      <c r="CA5" s="664"/>
      <c r="CB5" s="676" t="s">
        <v>184</v>
      </c>
      <c r="CC5" s="676"/>
      <c r="CM5" s="185" t="s">
        <v>294</v>
      </c>
      <c r="DD5" s="618"/>
      <c r="DE5" s="618"/>
      <c r="DF5" s="618"/>
      <c r="DG5" s="618"/>
      <c r="DH5" s="618"/>
      <c r="DI5" s="618"/>
      <c r="DJ5" s="618"/>
      <c r="DK5" s="618"/>
      <c r="DL5" s="618"/>
    </row>
    <row r="6" spans="2:146" ht="10.5" customHeight="1" x14ac:dyDescent="0.15">
      <c r="D6" s="669" t="str">
        <f>基本事項!H9&amp;""</f>
        <v>青森県西津軽郡深浦町</v>
      </c>
      <c r="E6" s="669"/>
      <c r="F6" s="669"/>
      <c r="G6" s="669"/>
      <c r="H6" s="669"/>
      <c r="I6" s="669"/>
      <c r="J6" s="669"/>
      <c r="K6" s="669"/>
      <c r="L6" s="669"/>
      <c r="M6" s="669"/>
      <c r="N6" s="669"/>
      <c r="O6" s="669"/>
      <c r="P6" s="669"/>
      <c r="Q6" s="669"/>
      <c r="R6" s="669"/>
      <c r="S6" s="669"/>
      <c r="T6" s="669"/>
      <c r="U6" s="671"/>
      <c r="V6" s="671"/>
      <c r="W6" s="671"/>
      <c r="X6" s="671"/>
      <c r="Y6" s="671"/>
      <c r="BA6" s="185" t="s">
        <v>88</v>
      </c>
      <c r="BJ6" s="675" t="str">
        <f>基本事項!AQ15</f>
        <v>令和</v>
      </c>
      <c r="BK6" s="675"/>
      <c r="BL6" s="675"/>
      <c r="BM6" s="675"/>
      <c r="BN6" s="675"/>
      <c r="BO6" s="675"/>
      <c r="BP6" s="675"/>
      <c r="BQ6" s="675"/>
      <c r="BR6" s="648" t="str">
        <f>基本事項!L16&amp;""</f>
        <v>4</v>
      </c>
      <c r="BS6" s="648"/>
      <c r="BT6" s="674" t="s">
        <v>75</v>
      </c>
      <c r="BU6" s="674"/>
      <c r="BV6" s="648" t="str">
        <f>基本事項!O16&amp;""</f>
        <v>3</v>
      </c>
      <c r="BW6" s="648"/>
      <c r="BX6" s="674" t="s">
        <v>187</v>
      </c>
      <c r="BY6" s="674"/>
      <c r="BZ6" s="648" t="str">
        <f>基本事項!R16&amp;""</f>
        <v>31</v>
      </c>
      <c r="CA6" s="648"/>
      <c r="CB6" s="674" t="s">
        <v>186</v>
      </c>
      <c r="CC6" s="674"/>
    </row>
    <row r="7" spans="2:146" ht="10.5" customHeight="1" x14ac:dyDescent="0.15">
      <c r="D7" s="669" t="str">
        <f>基本事項!H10&amp;""</f>
        <v>大字深浦字苗代沢３０－２６</v>
      </c>
      <c r="E7" s="669"/>
      <c r="F7" s="669"/>
      <c r="G7" s="669"/>
      <c r="H7" s="669"/>
      <c r="I7" s="669"/>
      <c r="J7" s="669"/>
      <c r="K7" s="669"/>
      <c r="L7" s="669"/>
      <c r="M7" s="669"/>
      <c r="N7" s="669"/>
      <c r="O7" s="669"/>
      <c r="P7" s="669"/>
      <c r="Q7" s="669"/>
      <c r="R7" s="669"/>
      <c r="S7" s="669"/>
      <c r="T7" s="669"/>
      <c r="U7" s="671"/>
      <c r="V7" s="671"/>
      <c r="W7" s="671"/>
      <c r="X7" s="671"/>
      <c r="Y7" s="671"/>
      <c r="BQ7" s="187"/>
      <c r="BR7" s="187"/>
    </row>
    <row r="8" spans="2:146" ht="10.5" customHeight="1" x14ac:dyDescent="0.15">
      <c r="BA8" s="649" t="s">
        <v>86</v>
      </c>
      <c r="BB8" s="649"/>
      <c r="BC8" s="649"/>
      <c r="BD8" s="649"/>
      <c r="BE8" s="649"/>
      <c r="BF8" s="649"/>
      <c r="BG8" s="649"/>
      <c r="BH8" s="649"/>
      <c r="BI8" s="649"/>
      <c r="BJ8" s="649"/>
      <c r="BK8" s="649"/>
      <c r="BL8" s="649"/>
      <c r="BM8" s="649"/>
      <c r="BN8" s="649"/>
      <c r="BO8" s="649"/>
      <c r="BP8" s="649"/>
      <c r="BQ8" s="649"/>
      <c r="BR8" s="649"/>
      <c r="BS8" s="650"/>
      <c r="BT8" s="650"/>
      <c r="BY8" s="185"/>
      <c r="BZ8" s="185"/>
      <c r="CA8" s="657" t="str">
        <f>基本事項!AN13</f>
        <v>080-5574-3593</v>
      </c>
      <c r="CB8" s="658"/>
      <c r="CC8" s="658"/>
      <c r="CD8" s="658"/>
      <c r="CE8" s="658"/>
      <c r="CF8" s="658"/>
      <c r="CG8" s="658"/>
      <c r="CH8" s="658"/>
      <c r="CI8" s="658"/>
      <c r="CJ8" s="658"/>
      <c r="CK8" s="658"/>
      <c r="CM8" s="569" t="s">
        <v>554</v>
      </c>
      <c r="CN8" s="569"/>
      <c r="CO8" s="569"/>
      <c r="CP8" s="619"/>
      <c r="CQ8" s="619"/>
      <c r="CR8" s="569" t="s">
        <v>75</v>
      </c>
      <c r="CS8" s="569"/>
      <c r="CT8" s="619"/>
      <c r="CU8" s="619"/>
      <c r="CV8" s="569" t="s">
        <v>187</v>
      </c>
      <c r="CW8" s="570"/>
      <c r="CX8" s="619"/>
      <c r="CY8" s="619"/>
      <c r="CZ8" s="569" t="s">
        <v>186</v>
      </c>
      <c r="DA8" s="569"/>
      <c r="DQ8" s="186"/>
    </row>
    <row r="9" spans="2:146" ht="10.5" customHeight="1" x14ac:dyDescent="0.15">
      <c r="D9" s="669" t="str">
        <f>基本事項!H11&amp;""</f>
        <v>（資）ティーアンドエスソフト</v>
      </c>
      <c r="E9" s="669"/>
      <c r="F9" s="669"/>
      <c r="G9" s="669"/>
      <c r="H9" s="669"/>
      <c r="I9" s="669"/>
      <c r="J9" s="669"/>
      <c r="K9" s="669"/>
      <c r="L9" s="669"/>
      <c r="M9" s="669"/>
      <c r="N9" s="669"/>
      <c r="O9" s="669"/>
      <c r="P9" s="669"/>
      <c r="Q9" s="670"/>
      <c r="R9" s="670"/>
      <c r="S9" s="670"/>
      <c r="T9" s="670"/>
      <c r="U9" s="671"/>
      <c r="V9" s="671"/>
      <c r="W9" s="671"/>
      <c r="X9" s="671"/>
      <c r="Y9" s="671"/>
      <c r="BA9" s="649" t="s">
        <v>170</v>
      </c>
      <c r="BB9" s="649"/>
      <c r="BC9" s="649"/>
      <c r="BD9" s="649"/>
      <c r="BE9" s="649"/>
      <c r="BF9" s="649"/>
      <c r="BG9" s="649"/>
      <c r="BH9" s="649"/>
      <c r="BI9" s="649"/>
      <c r="BJ9" s="649"/>
      <c r="BK9" s="649"/>
      <c r="BL9" s="649"/>
      <c r="BM9" s="649"/>
      <c r="BN9" s="649"/>
      <c r="BO9" s="649"/>
      <c r="BP9" s="649"/>
      <c r="BQ9" s="649"/>
      <c r="BR9" s="649"/>
      <c r="BS9" s="650"/>
      <c r="BT9" s="650"/>
      <c r="BY9" s="185"/>
      <c r="BZ9" s="185"/>
      <c r="CA9" s="184"/>
      <c r="CB9" s="184"/>
      <c r="CC9" s="659"/>
      <c r="CD9" s="658"/>
      <c r="CE9" s="658"/>
      <c r="CF9" s="658"/>
      <c r="CG9" s="658"/>
      <c r="CH9" s="658"/>
      <c r="CI9" s="658"/>
      <c r="CJ9" s="658"/>
      <c r="CK9" s="658"/>
    </row>
    <row r="10" spans="2:146" ht="10.5" customHeight="1" x14ac:dyDescent="0.15">
      <c r="BA10" s="649" t="s">
        <v>282</v>
      </c>
      <c r="BB10" s="649"/>
      <c r="BC10" s="649"/>
      <c r="BD10" s="649"/>
      <c r="BE10" s="649"/>
      <c r="BF10" s="649"/>
      <c r="BG10" s="649"/>
      <c r="BH10" s="649"/>
      <c r="BI10" s="649"/>
      <c r="BJ10" s="649"/>
      <c r="BK10" s="649"/>
      <c r="BL10" s="649"/>
      <c r="BM10" s="649"/>
      <c r="BN10" s="649"/>
      <c r="BO10" s="649"/>
      <c r="BP10" s="649"/>
      <c r="BQ10" s="649"/>
      <c r="BR10" s="649"/>
      <c r="BS10" s="650"/>
      <c r="BT10" s="650"/>
      <c r="BY10" s="185"/>
      <c r="BZ10" s="185"/>
      <c r="CA10" s="184"/>
      <c r="CB10" s="184"/>
      <c r="CC10" s="702">
        <f>基本事項!H19</f>
        <v>25000</v>
      </c>
      <c r="CD10" s="702"/>
      <c r="CE10" s="702"/>
      <c r="CF10" s="702"/>
      <c r="CG10" s="702"/>
      <c r="CH10" s="702"/>
      <c r="CI10" s="702"/>
      <c r="CJ10" s="702"/>
      <c r="CK10" s="702"/>
      <c r="CM10" s="623"/>
      <c r="CN10" s="623"/>
      <c r="CO10" s="623"/>
      <c r="CP10" s="623"/>
      <c r="CQ10" s="623"/>
      <c r="CR10" s="623"/>
      <c r="CS10" s="623"/>
      <c r="CT10" s="623"/>
      <c r="CU10" s="623"/>
      <c r="CV10" s="623"/>
      <c r="CW10" s="623"/>
      <c r="CX10" s="623"/>
      <c r="CY10" s="623"/>
      <c r="CZ10" s="623"/>
      <c r="DA10" s="623"/>
      <c r="DB10" s="623"/>
      <c r="DC10" s="623"/>
      <c r="DD10" s="623"/>
      <c r="DE10" s="623"/>
      <c r="DF10" s="623"/>
      <c r="DG10" s="623"/>
      <c r="DH10" s="623"/>
      <c r="DI10" s="623"/>
      <c r="DJ10" s="623"/>
      <c r="DK10" s="623"/>
      <c r="DL10" s="623"/>
      <c r="DM10" s="623"/>
      <c r="DN10" s="623"/>
      <c r="DO10" s="623"/>
      <c r="DP10" s="623"/>
      <c r="DQ10" s="623"/>
      <c r="DR10" s="623"/>
      <c r="DS10" s="623"/>
      <c r="DT10" s="623"/>
      <c r="DU10" s="623"/>
      <c r="DV10" s="623"/>
      <c r="DW10" s="623"/>
      <c r="DX10" s="623"/>
      <c r="DY10" s="208"/>
      <c r="DZ10" s="208"/>
      <c r="EA10" s="208"/>
      <c r="EB10" s="208"/>
      <c r="EC10" s="208"/>
      <c r="ED10" s="208"/>
      <c r="EE10" s="208"/>
    </row>
    <row r="11" spans="2:146" ht="10.5" customHeight="1" x14ac:dyDescent="0.15">
      <c r="D11" s="664" t="str">
        <f>基本事項!H12&amp;""</f>
        <v>関　孝子</v>
      </c>
      <c r="E11" s="664"/>
      <c r="F11" s="664"/>
      <c r="G11" s="664"/>
      <c r="H11" s="664"/>
      <c r="I11" s="664"/>
      <c r="J11" s="664"/>
      <c r="K11" s="664"/>
      <c r="L11" s="664"/>
      <c r="M11" s="664"/>
      <c r="N11" s="664"/>
      <c r="O11" s="664"/>
      <c r="P11" s="664"/>
      <c r="Q11" s="664"/>
      <c r="R11" s="664"/>
      <c r="S11" s="664"/>
      <c r="T11" s="664"/>
      <c r="U11" s="671"/>
      <c r="V11" s="671"/>
      <c r="W11" s="671"/>
      <c r="X11" s="671"/>
      <c r="Y11" s="671"/>
      <c r="Z11" s="703" t="s">
        <v>173</v>
      </c>
      <c r="AA11" s="703"/>
      <c r="BA11" s="649" t="s">
        <v>171</v>
      </c>
      <c r="BB11" s="649"/>
      <c r="BC11" s="649"/>
      <c r="BD11" s="649"/>
      <c r="BE11" s="649"/>
      <c r="BF11" s="649"/>
      <c r="BG11" s="649"/>
      <c r="BH11" s="649"/>
      <c r="BI11" s="649"/>
      <c r="BJ11" s="649"/>
      <c r="BK11" s="649"/>
      <c r="BL11" s="649"/>
      <c r="BM11" s="649"/>
      <c r="BN11" s="649"/>
      <c r="BO11" s="649"/>
      <c r="BP11" s="649"/>
      <c r="BQ11" s="649"/>
      <c r="BR11" s="649"/>
      <c r="BS11" s="650"/>
      <c r="BT11" s="650"/>
      <c r="BY11" s="185"/>
      <c r="BZ11" s="185"/>
      <c r="CA11" s="184"/>
      <c r="CB11" s="184"/>
      <c r="CC11" s="686">
        <f>'経営状況・自己資本額、平均利益額'!I21</f>
        <v>99.2</v>
      </c>
      <c r="CD11" s="686"/>
      <c r="CE11" s="686"/>
      <c r="CF11" s="686"/>
      <c r="CG11" s="686"/>
      <c r="CH11" s="686"/>
      <c r="CI11" s="686"/>
      <c r="CJ11" s="686"/>
      <c r="CK11" s="686"/>
      <c r="CM11" s="623"/>
      <c r="CN11" s="683"/>
      <c r="CO11" s="683"/>
      <c r="CP11" s="683"/>
      <c r="CQ11" s="683"/>
      <c r="CR11" s="683"/>
      <c r="CS11" s="683"/>
      <c r="CT11" s="683"/>
      <c r="CU11" s="683"/>
      <c r="CV11" s="683"/>
      <c r="CW11" s="683"/>
      <c r="CX11" s="683"/>
      <c r="CY11" s="683"/>
      <c r="CZ11" s="683"/>
      <c r="DA11" s="683"/>
      <c r="DB11" s="683"/>
      <c r="DC11" s="683"/>
      <c r="DD11" s="683"/>
      <c r="DE11" s="683"/>
      <c r="DF11" s="683"/>
      <c r="DG11" s="683"/>
      <c r="DH11" s="683"/>
      <c r="DI11" s="683"/>
      <c r="DJ11" s="683"/>
      <c r="DK11" s="683"/>
      <c r="DL11" s="683"/>
      <c r="DM11" s="683"/>
      <c r="DN11" s="683"/>
      <c r="DO11" s="683"/>
      <c r="DP11" s="683"/>
      <c r="DQ11" s="683"/>
      <c r="DR11" s="683"/>
      <c r="DS11" s="683"/>
      <c r="DT11" s="683"/>
      <c r="DU11" s="683"/>
      <c r="DV11" s="683"/>
      <c r="DW11" s="683"/>
      <c r="DX11" s="683"/>
      <c r="DY11" s="208"/>
      <c r="DZ11" s="208"/>
      <c r="EA11" s="208"/>
      <c r="EB11" s="208"/>
      <c r="EC11" s="208"/>
      <c r="ED11" s="208"/>
      <c r="EE11" s="208"/>
    </row>
    <row r="12" spans="2:146" ht="10.5" customHeight="1" x14ac:dyDescent="0.15">
      <c r="BA12" s="649" t="s">
        <v>172</v>
      </c>
      <c r="BB12" s="649"/>
      <c r="BC12" s="649"/>
      <c r="BD12" s="649"/>
      <c r="BE12" s="649"/>
      <c r="BF12" s="649"/>
      <c r="BG12" s="649"/>
      <c r="BH12" s="649"/>
      <c r="BI12" s="649"/>
      <c r="BJ12" s="649"/>
      <c r="BK12" s="649"/>
      <c r="BL12" s="649"/>
      <c r="BM12" s="649"/>
      <c r="BN12" s="649"/>
      <c r="BO12" s="649"/>
      <c r="BP12" s="649"/>
      <c r="BQ12" s="649"/>
      <c r="BR12" s="649"/>
      <c r="BS12" s="650"/>
      <c r="BT12" s="650"/>
      <c r="BY12" s="185"/>
      <c r="BZ12" s="185"/>
      <c r="CA12" s="184"/>
      <c r="CB12" s="184"/>
      <c r="CC12" s="658" t="s">
        <v>272</v>
      </c>
      <c r="CD12" s="658"/>
      <c r="CE12" s="658"/>
      <c r="CF12" s="658"/>
      <c r="CG12" s="658"/>
      <c r="CH12" s="658"/>
      <c r="CI12" s="658"/>
      <c r="CJ12" s="658"/>
      <c r="CK12" s="658"/>
      <c r="CM12" s="620"/>
      <c r="CN12" s="621"/>
      <c r="CO12" s="621"/>
      <c r="CP12" s="621"/>
      <c r="CQ12" s="621"/>
      <c r="CR12" s="621"/>
      <c r="CS12" s="621"/>
      <c r="CT12" s="621"/>
      <c r="CU12" s="621"/>
      <c r="CV12" s="621"/>
      <c r="CW12" s="621"/>
      <c r="CX12" s="621"/>
      <c r="CY12" s="621"/>
      <c r="CZ12" s="621"/>
      <c r="DA12" s="621"/>
      <c r="DB12" s="621"/>
      <c r="DC12" s="621"/>
      <c r="DD12" s="621"/>
      <c r="DE12" s="621"/>
      <c r="DF12" s="621"/>
      <c r="DG12" s="621"/>
      <c r="DH12" s="621"/>
      <c r="DI12" s="621"/>
      <c r="DJ12" s="621"/>
      <c r="DK12" s="621"/>
      <c r="DL12" s="621"/>
      <c r="DM12" s="621"/>
      <c r="DN12" s="621"/>
      <c r="DO12" s="621"/>
      <c r="DP12" s="621"/>
      <c r="DQ12" s="621"/>
      <c r="DR12" s="621"/>
      <c r="DS12" s="621"/>
      <c r="DT12" s="621"/>
      <c r="DU12" s="621"/>
      <c r="DV12" s="621"/>
      <c r="DW12" s="621"/>
      <c r="DX12" s="621"/>
      <c r="DY12" s="645" t="s">
        <v>284</v>
      </c>
      <c r="DZ12" s="645"/>
      <c r="EA12" s="208"/>
      <c r="EB12" s="208"/>
      <c r="EC12" s="208"/>
      <c r="ED12" s="208"/>
      <c r="EE12" s="208"/>
    </row>
    <row r="13" spans="2:146" ht="10.5" customHeight="1" x14ac:dyDescent="0.15">
      <c r="BQ13" s="187"/>
      <c r="BR13" s="187"/>
      <c r="BY13" s="185"/>
      <c r="BZ13" s="185"/>
    </row>
    <row r="14" spans="2:146" ht="10.5" customHeight="1" x14ac:dyDescent="0.15">
      <c r="B14" s="637" t="s">
        <v>158</v>
      </c>
      <c r="C14" s="638"/>
      <c r="D14" s="631" t="s">
        <v>268</v>
      </c>
      <c r="E14" s="629"/>
      <c r="F14" s="629"/>
      <c r="G14" s="629"/>
      <c r="H14" s="629"/>
      <c r="I14" s="629"/>
      <c r="J14" s="629"/>
      <c r="K14" s="629"/>
      <c r="L14" s="629"/>
      <c r="M14" s="629"/>
      <c r="N14" s="629"/>
      <c r="O14" s="629"/>
      <c r="P14" s="629"/>
      <c r="Q14" s="629"/>
      <c r="R14" s="629"/>
      <c r="S14" s="629"/>
      <c r="T14" s="629"/>
      <c r="U14" s="630"/>
      <c r="V14" s="701" t="s">
        <v>524</v>
      </c>
      <c r="W14" s="661"/>
      <c r="X14" s="661"/>
      <c r="Y14" s="661"/>
      <c r="Z14" s="661"/>
      <c r="AA14" s="662"/>
      <c r="AB14" s="600" t="s">
        <v>123</v>
      </c>
      <c r="AC14" s="616"/>
      <c r="AD14" s="616"/>
      <c r="AE14" s="616"/>
      <c r="AF14" s="616"/>
      <c r="AG14" s="616"/>
      <c r="AH14" s="616"/>
      <c r="AI14" s="616"/>
      <c r="AJ14" s="616"/>
      <c r="AK14" s="616"/>
      <c r="AL14" s="616"/>
      <c r="AM14" s="616"/>
      <c r="AN14" s="616"/>
      <c r="AO14" s="616"/>
      <c r="AP14" s="616"/>
      <c r="AQ14" s="617"/>
      <c r="AR14" s="680" t="s">
        <v>269</v>
      </c>
      <c r="AS14" s="681"/>
      <c r="AT14" s="681"/>
      <c r="AU14" s="681"/>
      <c r="AV14" s="681"/>
      <c r="AW14" s="681"/>
      <c r="AX14" s="681"/>
      <c r="AY14" s="681"/>
      <c r="AZ14" s="681"/>
      <c r="BA14" s="681"/>
      <c r="BB14" s="681"/>
      <c r="BC14" s="681"/>
      <c r="BD14" s="681"/>
      <c r="BE14" s="681"/>
      <c r="BF14" s="681"/>
      <c r="BG14" s="681"/>
      <c r="BH14" s="681"/>
      <c r="BI14" s="681"/>
      <c r="BJ14" s="681"/>
      <c r="BK14" s="681"/>
      <c r="BL14" s="681"/>
      <c r="BM14" s="681"/>
      <c r="BN14" s="681"/>
      <c r="BO14" s="681"/>
      <c r="BP14" s="681"/>
      <c r="BQ14" s="681"/>
      <c r="BR14" s="681"/>
      <c r="BS14" s="681"/>
      <c r="BT14" s="681"/>
      <c r="BU14" s="681"/>
      <c r="BV14" s="681"/>
      <c r="BW14" s="681"/>
      <c r="BX14" s="681"/>
      <c r="BY14" s="681"/>
      <c r="BZ14" s="681"/>
      <c r="CA14" s="681"/>
      <c r="CB14" s="681"/>
      <c r="CC14" s="681"/>
      <c r="CD14" s="681"/>
      <c r="CE14" s="681"/>
      <c r="CF14" s="681"/>
      <c r="CG14" s="681"/>
      <c r="CH14" s="681"/>
      <c r="CI14" s="681"/>
      <c r="CJ14" s="681"/>
      <c r="CK14" s="682"/>
      <c r="CM14" s="590" t="s">
        <v>274</v>
      </c>
      <c r="CN14" s="571"/>
      <c r="CO14" s="571"/>
      <c r="CP14" s="571"/>
      <c r="CQ14" s="571"/>
      <c r="CR14" s="571"/>
      <c r="CS14" s="571"/>
      <c r="CT14" s="571"/>
      <c r="CU14" s="571"/>
      <c r="CV14" s="571"/>
      <c r="CW14" s="571"/>
      <c r="CX14" s="571"/>
      <c r="CY14" s="571"/>
      <c r="CZ14" s="571"/>
      <c r="DA14" s="571"/>
      <c r="DB14" s="571"/>
      <c r="DC14" s="571"/>
      <c r="DD14" s="571"/>
      <c r="DE14" s="571"/>
      <c r="DF14" s="571"/>
      <c r="DG14" s="571"/>
      <c r="DH14" s="571"/>
      <c r="DI14" s="571"/>
      <c r="DJ14" s="571"/>
      <c r="DK14" s="571"/>
      <c r="DL14" s="571"/>
      <c r="DM14" s="571"/>
      <c r="DN14" s="571"/>
      <c r="DO14" s="571"/>
      <c r="DP14" s="571"/>
      <c r="DQ14" s="571"/>
      <c r="DR14" s="571"/>
      <c r="DS14" s="571"/>
      <c r="DT14" s="571"/>
      <c r="DU14" s="571"/>
      <c r="DV14" s="571"/>
      <c r="DW14" s="571"/>
      <c r="DX14" s="571"/>
      <c r="DY14" s="571"/>
      <c r="DZ14" s="572"/>
      <c r="EA14" s="603" t="s">
        <v>276</v>
      </c>
      <c r="EB14" s="579"/>
      <c r="EC14" s="579"/>
      <c r="ED14" s="579"/>
      <c r="EE14" s="579"/>
      <c r="EF14" s="579"/>
      <c r="EG14" s="579"/>
      <c r="EH14" s="579"/>
      <c r="EI14" s="579"/>
      <c r="EJ14" s="580"/>
      <c r="EK14" s="603" t="s">
        <v>160</v>
      </c>
      <c r="EL14" s="579"/>
      <c r="EM14" s="579"/>
      <c r="EN14" s="579"/>
      <c r="EO14" s="579"/>
      <c r="EP14" s="580"/>
    </row>
    <row r="15" spans="2:146" ht="5.25" customHeight="1" x14ac:dyDescent="0.15">
      <c r="B15" s="639"/>
      <c r="C15" s="640"/>
      <c r="D15" s="643"/>
      <c r="E15" s="569"/>
      <c r="F15" s="569"/>
      <c r="G15" s="569"/>
      <c r="H15" s="569"/>
      <c r="I15" s="569"/>
      <c r="J15" s="569"/>
      <c r="K15" s="569"/>
      <c r="L15" s="569"/>
      <c r="M15" s="569"/>
      <c r="N15" s="569"/>
      <c r="O15" s="569"/>
      <c r="P15" s="569"/>
      <c r="Q15" s="569"/>
      <c r="R15" s="569"/>
      <c r="S15" s="569"/>
      <c r="T15" s="569"/>
      <c r="U15" s="644"/>
      <c r="V15" s="663"/>
      <c r="W15" s="664"/>
      <c r="X15" s="664"/>
      <c r="Y15" s="664"/>
      <c r="Z15" s="664"/>
      <c r="AA15" s="665"/>
      <c r="AB15" s="660" t="str">
        <f>IF(その他!F5=1,その他!G5,その他!G6)</f>
        <v>３年平均</v>
      </c>
      <c r="AC15" s="661"/>
      <c r="AD15" s="661"/>
      <c r="AE15" s="661"/>
      <c r="AF15" s="661"/>
      <c r="AG15" s="661"/>
      <c r="AH15" s="661"/>
      <c r="AI15" s="661"/>
      <c r="AJ15" s="661"/>
      <c r="AK15" s="662"/>
      <c r="AL15" s="631" t="s">
        <v>34</v>
      </c>
      <c r="AM15" s="629"/>
      <c r="AN15" s="629"/>
      <c r="AO15" s="629"/>
      <c r="AP15" s="629"/>
      <c r="AQ15" s="630"/>
      <c r="AR15" s="660" t="s">
        <v>270</v>
      </c>
      <c r="AS15" s="661"/>
      <c r="AT15" s="661"/>
      <c r="AU15" s="661"/>
      <c r="AV15" s="661"/>
      <c r="AW15" s="661"/>
      <c r="AX15" s="661"/>
      <c r="AY15" s="661"/>
      <c r="AZ15" s="661"/>
      <c r="BA15" s="662"/>
      <c r="BB15" s="651" t="s">
        <v>206</v>
      </c>
      <c r="BC15" s="652"/>
      <c r="BD15" s="652"/>
      <c r="BE15" s="652"/>
      <c r="BF15" s="652"/>
      <c r="BG15" s="652"/>
      <c r="BH15" s="652"/>
      <c r="BI15" s="652"/>
      <c r="BJ15" s="652"/>
      <c r="BK15" s="652"/>
      <c r="BL15" s="652"/>
      <c r="BM15" s="652"/>
      <c r="BN15" s="652"/>
      <c r="BO15" s="652"/>
      <c r="BP15" s="652"/>
      <c r="BQ15" s="652"/>
      <c r="BR15" s="652"/>
      <c r="BS15" s="652"/>
      <c r="BT15" s="652"/>
      <c r="BU15" s="652"/>
      <c r="BV15" s="652"/>
      <c r="BW15" s="652"/>
      <c r="BX15" s="652"/>
      <c r="BY15" s="652"/>
      <c r="BZ15" s="652"/>
      <c r="CA15" s="652"/>
      <c r="CB15" s="652"/>
      <c r="CC15" s="652"/>
      <c r="CD15" s="652"/>
      <c r="CE15" s="653"/>
      <c r="CF15" s="631" t="s">
        <v>34</v>
      </c>
      <c r="CG15" s="629"/>
      <c r="CH15" s="629"/>
      <c r="CI15" s="629"/>
      <c r="CJ15" s="629"/>
      <c r="CK15" s="630"/>
      <c r="CM15" s="692" t="s">
        <v>42</v>
      </c>
      <c r="CN15" s="693"/>
      <c r="CO15" s="693"/>
      <c r="CP15" s="693"/>
      <c r="CQ15" s="693"/>
      <c r="CR15" s="693"/>
      <c r="CS15" s="693"/>
      <c r="CT15" s="693"/>
      <c r="CU15" s="693"/>
      <c r="CV15" s="693"/>
      <c r="CW15" s="693"/>
      <c r="CX15" s="693"/>
      <c r="CY15" s="693"/>
      <c r="CZ15" s="693"/>
      <c r="DA15" s="693"/>
      <c r="DB15" s="693"/>
      <c r="DC15" s="693"/>
      <c r="DD15" s="693"/>
      <c r="DE15" s="693"/>
      <c r="DF15" s="693"/>
      <c r="DG15" s="693"/>
      <c r="DH15" s="693"/>
      <c r="DI15" s="693"/>
      <c r="DJ15" s="693"/>
      <c r="DK15" s="693"/>
      <c r="DL15" s="693"/>
      <c r="DM15" s="693"/>
      <c r="DN15" s="693"/>
      <c r="DO15" s="693"/>
      <c r="DP15" s="693"/>
      <c r="DQ15" s="693"/>
      <c r="DR15" s="693"/>
      <c r="DS15" s="693"/>
      <c r="DT15" s="693"/>
      <c r="DU15" s="693"/>
      <c r="DV15" s="693"/>
      <c r="DW15" s="693"/>
      <c r="DX15" s="693"/>
      <c r="DY15" s="693"/>
      <c r="DZ15" s="693"/>
      <c r="EA15" s="695">
        <f>'経営状況・自己資本額、平均利益額'!E45</f>
        <v>136391</v>
      </c>
      <c r="EB15" s="695"/>
      <c r="EC15" s="695"/>
      <c r="ED15" s="695"/>
      <c r="EE15" s="695"/>
      <c r="EF15" s="695"/>
      <c r="EG15" s="695"/>
      <c r="EH15" s="695"/>
      <c r="EI15" s="695"/>
      <c r="EJ15" s="695"/>
      <c r="EK15" s="687">
        <f>'経営状況・自己資本額、平均利益額'!F45</f>
        <v>736</v>
      </c>
      <c r="EL15" s="687"/>
      <c r="EM15" s="687"/>
      <c r="EN15" s="687"/>
      <c r="EO15" s="687"/>
      <c r="EP15" s="687"/>
    </row>
    <row r="16" spans="2:146" ht="5.25" customHeight="1" x14ac:dyDescent="0.15">
      <c r="B16" s="639"/>
      <c r="C16" s="640"/>
      <c r="D16" s="643"/>
      <c r="E16" s="569"/>
      <c r="F16" s="569"/>
      <c r="G16" s="569"/>
      <c r="H16" s="569"/>
      <c r="I16" s="569"/>
      <c r="J16" s="569"/>
      <c r="K16" s="569"/>
      <c r="L16" s="569"/>
      <c r="M16" s="569"/>
      <c r="N16" s="569"/>
      <c r="O16" s="569"/>
      <c r="P16" s="569"/>
      <c r="Q16" s="569"/>
      <c r="R16" s="569"/>
      <c r="S16" s="569"/>
      <c r="T16" s="569"/>
      <c r="U16" s="644"/>
      <c r="V16" s="663"/>
      <c r="W16" s="664"/>
      <c r="X16" s="664"/>
      <c r="Y16" s="664"/>
      <c r="Z16" s="664"/>
      <c r="AA16" s="665"/>
      <c r="AB16" s="663"/>
      <c r="AC16" s="664"/>
      <c r="AD16" s="664"/>
      <c r="AE16" s="664"/>
      <c r="AF16" s="664"/>
      <c r="AG16" s="664"/>
      <c r="AH16" s="664"/>
      <c r="AI16" s="664"/>
      <c r="AJ16" s="664"/>
      <c r="AK16" s="665"/>
      <c r="AL16" s="643"/>
      <c r="AM16" s="569"/>
      <c r="AN16" s="569"/>
      <c r="AO16" s="569"/>
      <c r="AP16" s="569"/>
      <c r="AQ16" s="644"/>
      <c r="AR16" s="666"/>
      <c r="AS16" s="667"/>
      <c r="AT16" s="667"/>
      <c r="AU16" s="667"/>
      <c r="AV16" s="667"/>
      <c r="AW16" s="667"/>
      <c r="AX16" s="667"/>
      <c r="AY16" s="667"/>
      <c r="AZ16" s="667"/>
      <c r="BA16" s="668"/>
      <c r="BB16" s="654"/>
      <c r="BC16" s="655"/>
      <c r="BD16" s="655"/>
      <c r="BE16" s="655"/>
      <c r="BF16" s="655"/>
      <c r="BG16" s="655"/>
      <c r="BH16" s="655"/>
      <c r="BI16" s="655"/>
      <c r="BJ16" s="655"/>
      <c r="BK16" s="655"/>
      <c r="BL16" s="655"/>
      <c r="BM16" s="655"/>
      <c r="BN16" s="655"/>
      <c r="BO16" s="655"/>
      <c r="BP16" s="655"/>
      <c r="BQ16" s="655"/>
      <c r="BR16" s="655"/>
      <c r="BS16" s="655"/>
      <c r="BT16" s="655"/>
      <c r="BU16" s="655"/>
      <c r="BV16" s="655"/>
      <c r="BW16" s="655"/>
      <c r="BX16" s="655"/>
      <c r="BY16" s="655"/>
      <c r="BZ16" s="655"/>
      <c r="CA16" s="655"/>
      <c r="CB16" s="655"/>
      <c r="CC16" s="655"/>
      <c r="CD16" s="655"/>
      <c r="CE16" s="656"/>
      <c r="CF16" s="643"/>
      <c r="CG16" s="569"/>
      <c r="CH16" s="569"/>
      <c r="CI16" s="569"/>
      <c r="CJ16" s="569"/>
      <c r="CK16" s="644"/>
      <c r="CM16" s="694"/>
      <c r="CN16" s="694"/>
      <c r="CO16" s="694"/>
      <c r="CP16" s="694"/>
      <c r="CQ16" s="694"/>
      <c r="CR16" s="694"/>
      <c r="CS16" s="694"/>
      <c r="CT16" s="694"/>
      <c r="CU16" s="694"/>
      <c r="CV16" s="694"/>
      <c r="CW16" s="694"/>
      <c r="CX16" s="694"/>
      <c r="CY16" s="694"/>
      <c r="CZ16" s="694"/>
      <c r="DA16" s="694"/>
      <c r="DB16" s="694"/>
      <c r="DC16" s="694"/>
      <c r="DD16" s="694"/>
      <c r="DE16" s="694"/>
      <c r="DF16" s="694"/>
      <c r="DG16" s="694"/>
      <c r="DH16" s="694"/>
      <c r="DI16" s="694"/>
      <c r="DJ16" s="694"/>
      <c r="DK16" s="694"/>
      <c r="DL16" s="694"/>
      <c r="DM16" s="694"/>
      <c r="DN16" s="694"/>
      <c r="DO16" s="694"/>
      <c r="DP16" s="694"/>
      <c r="DQ16" s="694"/>
      <c r="DR16" s="694"/>
      <c r="DS16" s="694"/>
      <c r="DT16" s="694"/>
      <c r="DU16" s="694"/>
      <c r="DV16" s="694"/>
      <c r="DW16" s="694"/>
      <c r="DX16" s="694"/>
      <c r="DY16" s="694"/>
      <c r="DZ16" s="694"/>
      <c r="EA16" s="688"/>
      <c r="EB16" s="688"/>
      <c r="EC16" s="688"/>
      <c r="ED16" s="688"/>
      <c r="EE16" s="688"/>
      <c r="EF16" s="688"/>
      <c r="EG16" s="688"/>
      <c r="EH16" s="688"/>
      <c r="EI16" s="688"/>
      <c r="EJ16" s="688"/>
      <c r="EK16" s="688"/>
      <c r="EL16" s="688"/>
      <c r="EM16" s="688"/>
      <c r="EN16" s="688"/>
      <c r="EO16" s="688"/>
      <c r="EP16" s="688"/>
    </row>
    <row r="17" spans="2:146" ht="10.5" customHeight="1" x14ac:dyDescent="0.15">
      <c r="B17" s="641"/>
      <c r="C17" s="642"/>
      <c r="D17" s="632"/>
      <c r="E17" s="645"/>
      <c r="F17" s="645"/>
      <c r="G17" s="645"/>
      <c r="H17" s="645"/>
      <c r="I17" s="645"/>
      <c r="J17" s="645"/>
      <c r="K17" s="645"/>
      <c r="L17" s="645"/>
      <c r="M17" s="645"/>
      <c r="N17" s="645"/>
      <c r="O17" s="645"/>
      <c r="P17" s="645"/>
      <c r="Q17" s="645"/>
      <c r="R17" s="645"/>
      <c r="S17" s="645"/>
      <c r="T17" s="645"/>
      <c r="U17" s="633"/>
      <c r="V17" s="666"/>
      <c r="W17" s="667"/>
      <c r="X17" s="667"/>
      <c r="Y17" s="667"/>
      <c r="Z17" s="667"/>
      <c r="AA17" s="668"/>
      <c r="AB17" s="666"/>
      <c r="AC17" s="667"/>
      <c r="AD17" s="667"/>
      <c r="AE17" s="667"/>
      <c r="AF17" s="667"/>
      <c r="AG17" s="667"/>
      <c r="AH17" s="667"/>
      <c r="AI17" s="667"/>
      <c r="AJ17" s="667"/>
      <c r="AK17" s="668"/>
      <c r="AL17" s="632" t="s">
        <v>286</v>
      </c>
      <c r="AM17" s="645"/>
      <c r="AN17" s="645"/>
      <c r="AO17" s="645"/>
      <c r="AP17" s="645"/>
      <c r="AQ17" s="633"/>
      <c r="AR17" s="603" t="str">
        <f>AB15</f>
        <v>３年平均</v>
      </c>
      <c r="AS17" s="579"/>
      <c r="AT17" s="579"/>
      <c r="AU17" s="579"/>
      <c r="AV17" s="579"/>
      <c r="AW17" s="579"/>
      <c r="AX17" s="579"/>
      <c r="AY17" s="579"/>
      <c r="AZ17" s="579"/>
      <c r="BA17" s="580"/>
      <c r="BB17" s="603" t="s">
        <v>155</v>
      </c>
      <c r="BC17" s="579"/>
      <c r="BD17" s="579"/>
      <c r="BE17" s="579"/>
      <c r="BF17" s="580"/>
      <c r="BG17" s="677" t="s">
        <v>290</v>
      </c>
      <c r="BH17" s="678"/>
      <c r="BI17" s="678"/>
      <c r="BJ17" s="678"/>
      <c r="BK17" s="679"/>
      <c r="BL17" s="677" t="s">
        <v>621</v>
      </c>
      <c r="BM17" s="678"/>
      <c r="BN17" s="678"/>
      <c r="BO17" s="678"/>
      <c r="BP17" s="679"/>
      <c r="BQ17" s="603" t="s">
        <v>204</v>
      </c>
      <c r="BR17" s="579"/>
      <c r="BS17" s="579"/>
      <c r="BT17" s="579"/>
      <c r="BU17" s="580"/>
      <c r="BV17" s="603" t="s">
        <v>156</v>
      </c>
      <c r="BW17" s="579"/>
      <c r="BX17" s="579"/>
      <c r="BY17" s="579"/>
      <c r="BZ17" s="580"/>
      <c r="CA17" s="603" t="s">
        <v>157</v>
      </c>
      <c r="CB17" s="579"/>
      <c r="CC17" s="579"/>
      <c r="CD17" s="579"/>
      <c r="CE17" s="580"/>
      <c r="CF17" s="632" t="s">
        <v>287</v>
      </c>
      <c r="CG17" s="645"/>
      <c r="CH17" s="645"/>
      <c r="CI17" s="645"/>
      <c r="CJ17" s="645"/>
      <c r="CK17" s="633"/>
      <c r="CM17" s="680" t="s">
        <v>275</v>
      </c>
      <c r="CN17" s="696"/>
      <c r="CO17" s="696"/>
      <c r="CP17" s="696"/>
      <c r="CQ17" s="696"/>
      <c r="CR17" s="696"/>
      <c r="CS17" s="696"/>
      <c r="CT17" s="696"/>
      <c r="CU17" s="696"/>
      <c r="CV17" s="696"/>
      <c r="CW17" s="696"/>
      <c r="CX17" s="696"/>
      <c r="CY17" s="696"/>
      <c r="CZ17" s="696"/>
      <c r="DA17" s="696"/>
      <c r="DB17" s="696"/>
      <c r="DC17" s="696"/>
      <c r="DD17" s="696"/>
      <c r="DE17" s="696"/>
      <c r="DF17" s="696"/>
      <c r="DG17" s="696"/>
      <c r="DH17" s="696"/>
      <c r="DI17" s="696"/>
      <c r="DJ17" s="696"/>
      <c r="DK17" s="696"/>
      <c r="DL17" s="696"/>
      <c r="DM17" s="696"/>
      <c r="DN17" s="696"/>
      <c r="DO17" s="696"/>
      <c r="DP17" s="696"/>
      <c r="DQ17" s="696"/>
      <c r="DR17" s="696"/>
      <c r="DS17" s="696"/>
      <c r="DT17" s="696"/>
      <c r="DU17" s="696"/>
      <c r="DV17" s="696"/>
      <c r="DW17" s="696"/>
      <c r="DX17" s="696"/>
      <c r="DY17" s="696"/>
      <c r="DZ17" s="697"/>
      <c r="EA17" s="689">
        <f>'経営状況・自己資本額、平均利益額'!E46</f>
        <v>6097</v>
      </c>
      <c r="EB17" s="690"/>
      <c r="EC17" s="690"/>
      <c r="ED17" s="690"/>
      <c r="EE17" s="690"/>
      <c r="EF17" s="690"/>
      <c r="EG17" s="690"/>
      <c r="EH17" s="690"/>
      <c r="EI17" s="690"/>
      <c r="EJ17" s="691"/>
      <c r="EK17" s="573">
        <f>'経営状況・自己資本額、平均利益額'!F46</f>
        <v>594</v>
      </c>
      <c r="EL17" s="577"/>
      <c r="EM17" s="577"/>
      <c r="EN17" s="577"/>
      <c r="EO17" s="577"/>
      <c r="EP17" s="578"/>
    </row>
    <row r="18" spans="2:146" ht="10.5" customHeight="1" x14ac:dyDescent="0.15">
      <c r="B18" s="631" t="str">
        <f>完成工事高!C7</f>
        <v>特</v>
      </c>
      <c r="C18" s="630"/>
      <c r="D18" s="634" t="s">
        <v>48</v>
      </c>
      <c r="E18" s="635"/>
      <c r="F18" s="635"/>
      <c r="G18" s="635"/>
      <c r="H18" s="635"/>
      <c r="I18" s="635"/>
      <c r="J18" s="635"/>
      <c r="K18" s="635"/>
      <c r="L18" s="635"/>
      <c r="M18" s="635"/>
      <c r="N18" s="635"/>
      <c r="O18" s="635"/>
      <c r="P18" s="635"/>
      <c r="Q18" s="635"/>
      <c r="R18" s="635"/>
      <c r="S18" s="635"/>
      <c r="T18" s="635"/>
      <c r="U18" s="636"/>
      <c r="V18" s="576">
        <f>'経営状況・自己資本額、平均利益額'!W6</f>
        <v>414</v>
      </c>
      <c r="W18" s="574"/>
      <c r="X18" s="574"/>
      <c r="Y18" s="574"/>
      <c r="Z18" s="574"/>
      <c r="AA18" s="575"/>
      <c r="AB18" s="622">
        <f>完成工事高!L7</f>
        <v>220777</v>
      </c>
      <c r="AC18" s="609"/>
      <c r="AD18" s="609"/>
      <c r="AE18" s="609"/>
      <c r="AF18" s="609"/>
      <c r="AG18" s="609"/>
      <c r="AH18" s="609"/>
      <c r="AI18" s="609"/>
      <c r="AJ18" s="609"/>
      <c r="AK18" s="610"/>
      <c r="AL18" s="622">
        <f>完成工事高!M7</f>
        <v>801</v>
      </c>
      <c r="AM18" s="609"/>
      <c r="AN18" s="609"/>
      <c r="AO18" s="609"/>
      <c r="AP18" s="609"/>
      <c r="AQ18" s="610"/>
      <c r="AR18" s="622">
        <f>元請完成工事高!L7</f>
        <v>193477</v>
      </c>
      <c r="AS18" s="609"/>
      <c r="AT18" s="609"/>
      <c r="AU18" s="609"/>
      <c r="AV18" s="609"/>
      <c r="AW18" s="609"/>
      <c r="AX18" s="609"/>
      <c r="AY18" s="609"/>
      <c r="AZ18" s="609"/>
      <c r="BA18" s="610"/>
      <c r="BB18" s="622">
        <f>IF(V18="","",技術者!G7)</f>
        <v>7</v>
      </c>
      <c r="BC18" s="609"/>
      <c r="BD18" s="609"/>
      <c r="BE18" s="609"/>
      <c r="BF18" s="610"/>
      <c r="BG18" s="272" t="s">
        <v>566</v>
      </c>
      <c r="BH18" s="609">
        <f>IF(V18="","",技術者!H7)</f>
        <v>6</v>
      </c>
      <c r="BI18" s="609"/>
      <c r="BJ18" s="609"/>
      <c r="BK18" s="273" t="s">
        <v>567</v>
      </c>
      <c r="BL18" s="622">
        <f>IF(V18="","",技術者!I7)</f>
        <v>1</v>
      </c>
      <c r="BM18" s="609"/>
      <c r="BN18" s="609"/>
      <c r="BO18" s="609"/>
      <c r="BP18" s="610"/>
      <c r="BQ18" s="622">
        <f>IF(V18="","",技術者!J7+技術者!K7)</f>
        <v>0</v>
      </c>
      <c r="BR18" s="609"/>
      <c r="BS18" s="609"/>
      <c r="BT18" s="609"/>
      <c r="BU18" s="610"/>
      <c r="BV18" s="622">
        <f>IF(V18="","",技術者!L7+技術者!M7)</f>
        <v>7</v>
      </c>
      <c r="BW18" s="609"/>
      <c r="BX18" s="609"/>
      <c r="BY18" s="609"/>
      <c r="BZ18" s="610"/>
      <c r="CA18" s="622">
        <f>IF(V18="","",技術者!N7)</f>
        <v>1</v>
      </c>
      <c r="CB18" s="609"/>
      <c r="CC18" s="609"/>
      <c r="CD18" s="609"/>
      <c r="CE18" s="610"/>
      <c r="CF18" s="573">
        <f>技術者!R7</f>
        <v>456</v>
      </c>
      <c r="CG18" s="574"/>
      <c r="CH18" s="574"/>
      <c r="CI18" s="574"/>
      <c r="CJ18" s="574"/>
      <c r="CK18" s="575"/>
      <c r="CM18" s="684" t="s">
        <v>34</v>
      </c>
      <c r="CN18" s="685"/>
      <c r="CO18" s="685"/>
      <c r="CP18" s="685"/>
      <c r="CQ18" s="685"/>
      <c r="CR18" s="685"/>
      <c r="CS18" s="685"/>
      <c r="CT18" s="685"/>
      <c r="CU18" s="685"/>
      <c r="CV18" s="685"/>
      <c r="CW18" s="685"/>
      <c r="CX18" s="685"/>
      <c r="CY18" s="685"/>
      <c r="CZ18" s="685"/>
      <c r="DA18" s="685"/>
      <c r="DB18" s="685"/>
      <c r="DC18" s="685"/>
      <c r="DD18" s="685"/>
      <c r="DE18" s="685"/>
      <c r="DF18" s="685"/>
      <c r="DG18" s="685"/>
      <c r="DH18" s="685"/>
      <c r="DI18" s="685"/>
      <c r="DJ18" s="685"/>
      <c r="DK18" s="685"/>
      <c r="DL18" s="685"/>
      <c r="DM18" s="685"/>
      <c r="DN18" s="685"/>
      <c r="DO18" s="685"/>
      <c r="DP18" s="685"/>
      <c r="DQ18" s="685"/>
      <c r="DR18" s="685"/>
      <c r="DS18" s="685"/>
      <c r="DT18" s="685"/>
      <c r="DU18" s="685"/>
      <c r="DV18" s="685"/>
      <c r="DW18" s="685"/>
      <c r="DX18" s="685"/>
      <c r="DY18" s="685"/>
      <c r="DZ18" s="685"/>
      <c r="EA18" s="615" t="s">
        <v>273</v>
      </c>
      <c r="EB18" s="615"/>
      <c r="EC18" s="615"/>
      <c r="ED18" s="615"/>
      <c r="EE18" s="615"/>
      <c r="EF18" s="615"/>
      <c r="EG18" s="615"/>
      <c r="EH18" s="615"/>
      <c r="EI18" s="615"/>
      <c r="EJ18" s="615"/>
      <c r="EK18" s="598">
        <f>'経営状況・自己資本額、平均利益額'!F47</f>
        <v>665</v>
      </c>
      <c r="EL18" s="577"/>
      <c r="EM18" s="577"/>
      <c r="EN18" s="577"/>
      <c r="EO18" s="577"/>
      <c r="EP18" s="578"/>
    </row>
    <row r="19" spans="2:146" ht="10.5" customHeight="1" x14ac:dyDescent="0.15">
      <c r="B19" s="632"/>
      <c r="C19" s="633"/>
      <c r="D19" s="189"/>
      <c r="E19" s="611" t="s">
        <v>523</v>
      </c>
      <c r="F19" s="646"/>
      <c r="G19" s="646"/>
      <c r="H19" s="646"/>
      <c r="I19" s="646"/>
      <c r="J19" s="646"/>
      <c r="K19" s="646"/>
      <c r="L19" s="646"/>
      <c r="M19" s="646"/>
      <c r="N19" s="646"/>
      <c r="O19" s="646"/>
      <c r="P19" s="646"/>
      <c r="Q19" s="646"/>
      <c r="R19" s="646"/>
      <c r="S19" s="646"/>
      <c r="T19" s="646"/>
      <c r="U19" s="647"/>
      <c r="V19" s="576">
        <f>'経営状況・自己資本額、平均利益額'!W7</f>
        <v>313</v>
      </c>
      <c r="W19" s="574"/>
      <c r="X19" s="574"/>
      <c r="Y19" s="574"/>
      <c r="Z19" s="574"/>
      <c r="AA19" s="575"/>
      <c r="AB19" s="622">
        <f>完成工事高!L8</f>
        <v>0</v>
      </c>
      <c r="AC19" s="609"/>
      <c r="AD19" s="609"/>
      <c r="AE19" s="609"/>
      <c r="AF19" s="609"/>
      <c r="AG19" s="609"/>
      <c r="AH19" s="609"/>
      <c r="AI19" s="609"/>
      <c r="AJ19" s="609"/>
      <c r="AK19" s="610"/>
      <c r="AL19" s="622">
        <f>完成工事高!M8</f>
        <v>397</v>
      </c>
      <c r="AM19" s="609"/>
      <c r="AN19" s="609"/>
      <c r="AO19" s="609"/>
      <c r="AP19" s="609"/>
      <c r="AQ19" s="610"/>
      <c r="AR19" s="622">
        <f>元請完成工事高!L8</f>
        <v>0</v>
      </c>
      <c r="AS19" s="609"/>
      <c r="AT19" s="609"/>
      <c r="AU19" s="609"/>
      <c r="AV19" s="609"/>
      <c r="AW19" s="609"/>
      <c r="AX19" s="609"/>
      <c r="AY19" s="609"/>
      <c r="AZ19" s="609"/>
      <c r="BA19" s="610"/>
      <c r="BB19" s="622"/>
      <c r="BC19" s="609"/>
      <c r="BD19" s="609"/>
      <c r="BE19" s="609"/>
      <c r="BF19" s="610"/>
      <c r="BG19" s="626"/>
      <c r="BH19" s="627"/>
      <c r="BI19" s="627"/>
      <c r="BJ19" s="627"/>
      <c r="BK19" s="628"/>
      <c r="BL19" s="622"/>
      <c r="BM19" s="609"/>
      <c r="BN19" s="609"/>
      <c r="BO19" s="609"/>
      <c r="BP19" s="610"/>
      <c r="BQ19" s="622"/>
      <c r="BR19" s="609"/>
      <c r="BS19" s="609"/>
      <c r="BT19" s="609"/>
      <c r="BU19" s="610"/>
      <c r="BV19" s="622"/>
      <c r="BW19" s="609"/>
      <c r="BX19" s="609"/>
      <c r="BY19" s="609"/>
      <c r="BZ19" s="610"/>
      <c r="CA19" s="622"/>
      <c r="CB19" s="609"/>
      <c r="CC19" s="609"/>
      <c r="CD19" s="609"/>
      <c r="CE19" s="610"/>
      <c r="CF19" s="573">
        <f>技術者!R8</f>
        <v>456</v>
      </c>
      <c r="CG19" s="574"/>
      <c r="CH19" s="574"/>
      <c r="CI19" s="574"/>
      <c r="CJ19" s="574"/>
      <c r="CK19" s="575"/>
    </row>
    <row r="20" spans="2:146" ht="10.5" customHeight="1" x14ac:dyDescent="0.15">
      <c r="B20" s="603" t="str">
        <f>完成工事高!C9</f>
        <v>般</v>
      </c>
      <c r="C20" s="580"/>
      <c r="D20" s="590" t="s">
        <v>53</v>
      </c>
      <c r="E20" s="624"/>
      <c r="F20" s="624"/>
      <c r="G20" s="624"/>
      <c r="H20" s="624"/>
      <c r="I20" s="624"/>
      <c r="J20" s="624"/>
      <c r="K20" s="624"/>
      <c r="L20" s="624"/>
      <c r="M20" s="624"/>
      <c r="N20" s="624"/>
      <c r="O20" s="624"/>
      <c r="P20" s="624"/>
      <c r="Q20" s="624"/>
      <c r="R20" s="624"/>
      <c r="S20" s="624"/>
      <c r="T20" s="624"/>
      <c r="U20" s="625"/>
      <c r="V20" s="576">
        <f>'経営状況・自己資本額、平均利益額'!W8</f>
        <v>313</v>
      </c>
      <c r="W20" s="574"/>
      <c r="X20" s="574"/>
      <c r="Y20" s="574"/>
      <c r="Z20" s="574"/>
      <c r="AA20" s="575"/>
      <c r="AB20" s="622">
        <f>完成工事高!L9</f>
        <v>0</v>
      </c>
      <c r="AC20" s="609"/>
      <c r="AD20" s="609"/>
      <c r="AE20" s="609"/>
      <c r="AF20" s="609"/>
      <c r="AG20" s="609"/>
      <c r="AH20" s="609"/>
      <c r="AI20" s="609"/>
      <c r="AJ20" s="609"/>
      <c r="AK20" s="610"/>
      <c r="AL20" s="622">
        <f>完成工事高!M9</f>
        <v>397</v>
      </c>
      <c r="AM20" s="609"/>
      <c r="AN20" s="609"/>
      <c r="AO20" s="609"/>
      <c r="AP20" s="609"/>
      <c r="AQ20" s="610"/>
      <c r="AR20" s="622">
        <f>元請完成工事高!L9</f>
        <v>0</v>
      </c>
      <c r="AS20" s="609"/>
      <c r="AT20" s="609"/>
      <c r="AU20" s="609"/>
      <c r="AV20" s="609"/>
      <c r="AW20" s="609"/>
      <c r="AX20" s="609"/>
      <c r="AY20" s="609"/>
      <c r="AZ20" s="609"/>
      <c r="BA20" s="610"/>
      <c r="BB20" s="622">
        <f>IF(V20="","",技術者!G9)</f>
        <v>0</v>
      </c>
      <c r="BC20" s="609"/>
      <c r="BD20" s="609"/>
      <c r="BE20" s="609"/>
      <c r="BF20" s="610"/>
      <c r="BG20" s="272" t="s">
        <v>566</v>
      </c>
      <c r="BH20" s="609">
        <f>IF(V20="","",技術者!H9)</f>
        <v>0</v>
      </c>
      <c r="BI20" s="609"/>
      <c r="BJ20" s="609"/>
      <c r="BK20" s="273" t="s">
        <v>567</v>
      </c>
      <c r="BL20" s="622">
        <f>IF(V20="","",技術者!I9)</f>
        <v>0</v>
      </c>
      <c r="BM20" s="609"/>
      <c r="BN20" s="609"/>
      <c r="BO20" s="609"/>
      <c r="BP20" s="610"/>
      <c r="BQ20" s="622">
        <f>IF(V20="","",技術者!J9+技術者!K9)</f>
        <v>0</v>
      </c>
      <c r="BR20" s="609"/>
      <c r="BS20" s="609"/>
      <c r="BT20" s="609"/>
      <c r="BU20" s="610"/>
      <c r="BV20" s="622">
        <f>IF(V20="","",技術者!L9+技術者!M9)</f>
        <v>1</v>
      </c>
      <c r="BW20" s="609"/>
      <c r="BX20" s="609"/>
      <c r="BY20" s="609"/>
      <c r="BZ20" s="610"/>
      <c r="CA20" s="622">
        <f>IF(V20="","",技術者!N9)</f>
        <v>0</v>
      </c>
      <c r="CB20" s="609"/>
      <c r="CC20" s="609"/>
      <c r="CD20" s="609"/>
      <c r="CE20" s="610"/>
      <c r="CF20" s="573">
        <f>技術者!R9</f>
        <v>456</v>
      </c>
      <c r="CG20" s="574"/>
      <c r="CH20" s="574"/>
      <c r="CI20" s="574"/>
      <c r="CJ20" s="574"/>
      <c r="CK20" s="575"/>
      <c r="CM20" s="590" t="s">
        <v>161</v>
      </c>
      <c r="CN20" s="571"/>
      <c r="CO20" s="571"/>
      <c r="CP20" s="571"/>
      <c r="CQ20" s="571"/>
      <c r="CR20" s="571"/>
      <c r="CS20" s="571"/>
      <c r="CT20" s="571"/>
      <c r="CU20" s="571"/>
      <c r="CV20" s="571"/>
      <c r="CW20" s="571"/>
      <c r="CX20" s="571"/>
      <c r="CY20" s="571"/>
      <c r="CZ20" s="571"/>
      <c r="DA20" s="571"/>
      <c r="DB20" s="571"/>
      <c r="DC20" s="571"/>
      <c r="DD20" s="571"/>
      <c r="DE20" s="571"/>
      <c r="DF20" s="571"/>
      <c r="DG20" s="571"/>
      <c r="DH20" s="571"/>
      <c r="DI20" s="571"/>
      <c r="DJ20" s="571"/>
      <c r="DK20" s="571"/>
      <c r="DL20" s="571"/>
      <c r="DM20" s="571"/>
      <c r="DN20" s="571"/>
      <c r="DO20" s="571"/>
      <c r="DP20" s="571"/>
      <c r="DQ20" s="571"/>
      <c r="DR20" s="571"/>
      <c r="DS20" s="571"/>
      <c r="DT20" s="571"/>
      <c r="DU20" s="571"/>
      <c r="DV20" s="571"/>
      <c r="DW20" s="571"/>
      <c r="DX20" s="571"/>
      <c r="DY20" s="571"/>
      <c r="DZ20" s="572"/>
      <c r="EA20" s="603" t="s">
        <v>277</v>
      </c>
      <c r="EB20" s="579"/>
      <c r="EC20" s="579"/>
      <c r="ED20" s="579"/>
      <c r="EE20" s="579"/>
      <c r="EF20" s="579"/>
      <c r="EG20" s="579"/>
      <c r="EH20" s="579"/>
      <c r="EI20" s="579"/>
      <c r="EJ20" s="580"/>
      <c r="EK20" s="603" t="s">
        <v>32</v>
      </c>
      <c r="EL20" s="579"/>
      <c r="EM20" s="579"/>
      <c r="EN20" s="579"/>
      <c r="EO20" s="579"/>
      <c r="EP20" s="580"/>
    </row>
    <row r="21" spans="2:146" ht="10.5" customHeight="1" x14ac:dyDescent="0.15">
      <c r="B21" s="603" t="str">
        <f>完成工事高!C10</f>
        <v/>
      </c>
      <c r="C21" s="580"/>
      <c r="D21" s="590" t="s">
        <v>139</v>
      </c>
      <c r="E21" s="624"/>
      <c r="F21" s="624"/>
      <c r="G21" s="624"/>
      <c r="H21" s="624"/>
      <c r="I21" s="624"/>
      <c r="J21" s="624"/>
      <c r="K21" s="624"/>
      <c r="L21" s="624"/>
      <c r="M21" s="624"/>
      <c r="N21" s="624"/>
      <c r="O21" s="624"/>
      <c r="P21" s="624"/>
      <c r="Q21" s="624"/>
      <c r="R21" s="624"/>
      <c r="S21" s="624"/>
      <c r="T21" s="624"/>
      <c r="U21" s="625"/>
      <c r="V21" s="576" t="str">
        <f>'経営状況・自己資本額、平均利益額'!W9</f>
        <v/>
      </c>
      <c r="W21" s="574"/>
      <c r="X21" s="574"/>
      <c r="Y21" s="574"/>
      <c r="Z21" s="574"/>
      <c r="AA21" s="575"/>
      <c r="AB21" s="622" t="str">
        <f>完成工事高!L10</f>
        <v/>
      </c>
      <c r="AC21" s="609"/>
      <c r="AD21" s="609"/>
      <c r="AE21" s="609"/>
      <c r="AF21" s="609"/>
      <c r="AG21" s="609"/>
      <c r="AH21" s="609"/>
      <c r="AI21" s="609"/>
      <c r="AJ21" s="609"/>
      <c r="AK21" s="610"/>
      <c r="AL21" s="622" t="str">
        <f>完成工事高!M10</f>
        <v/>
      </c>
      <c r="AM21" s="609"/>
      <c r="AN21" s="609"/>
      <c r="AO21" s="609"/>
      <c r="AP21" s="609"/>
      <c r="AQ21" s="610"/>
      <c r="AR21" s="622" t="str">
        <f>元請完成工事高!L10</f>
        <v/>
      </c>
      <c r="AS21" s="609"/>
      <c r="AT21" s="609"/>
      <c r="AU21" s="609"/>
      <c r="AV21" s="609"/>
      <c r="AW21" s="609"/>
      <c r="AX21" s="609"/>
      <c r="AY21" s="609"/>
      <c r="AZ21" s="609"/>
      <c r="BA21" s="610"/>
      <c r="BB21" s="622" t="str">
        <f>IF(V21="","",技術者!G10)</f>
        <v/>
      </c>
      <c r="BC21" s="609"/>
      <c r="BD21" s="609"/>
      <c r="BE21" s="609"/>
      <c r="BF21" s="610"/>
      <c r="BG21" s="272" t="s">
        <v>566</v>
      </c>
      <c r="BH21" s="609" t="str">
        <f>IF(V21="","",技術者!H10)</f>
        <v/>
      </c>
      <c r="BI21" s="609"/>
      <c r="BJ21" s="609"/>
      <c r="BK21" s="273" t="s">
        <v>567</v>
      </c>
      <c r="BL21" s="622" t="str">
        <f>IF(V21="","",技術者!I10)</f>
        <v/>
      </c>
      <c r="BM21" s="609"/>
      <c r="BN21" s="609"/>
      <c r="BO21" s="609"/>
      <c r="BP21" s="610"/>
      <c r="BQ21" s="622" t="str">
        <f>IF(V21="","",技術者!J10+技術者!K10)</f>
        <v/>
      </c>
      <c r="BR21" s="609"/>
      <c r="BS21" s="609"/>
      <c r="BT21" s="609"/>
      <c r="BU21" s="610"/>
      <c r="BV21" s="622" t="str">
        <f>IF(V21="","",技術者!L10+技術者!M10)</f>
        <v/>
      </c>
      <c r="BW21" s="609"/>
      <c r="BX21" s="609"/>
      <c r="BY21" s="609"/>
      <c r="BZ21" s="610"/>
      <c r="CA21" s="622" t="str">
        <f>IF(V21="","",技術者!N10)</f>
        <v/>
      </c>
      <c r="CB21" s="609"/>
      <c r="CC21" s="609"/>
      <c r="CD21" s="609"/>
      <c r="CE21" s="610"/>
      <c r="CF21" s="573" t="str">
        <f>技術者!R10</f>
        <v/>
      </c>
      <c r="CG21" s="574"/>
      <c r="CH21" s="574"/>
      <c r="CI21" s="574"/>
      <c r="CJ21" s="574"/>
      <c r="CK21" s="575"/>
      <c r="CM21" s="190"/>
      <c r="CN21" s="571" t="s">
        <v>52</v>
      </c>
      <c r="CO21" s="588"/>
      <c r="CP21" s="588"/>
      <c r="CQ21" s="588"/>
      <c r="CR21" s="588"/>
      <c r="CS21" s="588"/>
      <c r="CT21" s="588"/>
      <c r="CU21" s="588"/>
      <c r="CV21" s="588"/>
      <c r="CW21" s="588"/>
      <c r="CX21" s="588"/>
      <c r="CY21" s="588"/>
      <c r="CZ21" s="588"/>
      <c r="DA21" s="588"/>
      <c r="DB21" s="588"/>
      <c r="DC21" s="588"/>
      <c r="DD21" s="588"/>
      <c r="DE21" s="588"/>
      <c r="DF21" s="588"/>
      <c r="DG21" s="588"/>
      <c r="DH21" s="588"/>
      <c r="DI21" s="588"/>
      <c r="DJ21" s="588"/>
      <c r="DK21" s="588"/>
      <c r="DL21" s="588"/>
      <c r="DM21" s="588"/>
      <c r="DN21" s="588"/>
      <c r="DO21" s="588"/>
      <c r="DP21" s="588"/>
      <c r="DQ21" s="588"/>
      <c r="DR21" s="588"/>
      <c r="DS21" s="588"/>
      <c r="DT21" s="588"/>
      <c r="DU21" s="588"/>
      <c r="DV21" s="588"/>
      <c r="DW21" s="588"/>
      <c r="DX21" s="588"/>
      <c r="DY21" s="588"/>
      <c r="DZ21" s="589"/>
      <c r="EA21" s="576" t="str">
        <f>社会性等!AN5</f>
        <v>有</v>
      </c>
      <c r="EB21" s="574"/>
      <c r="EC21" s="574"/>
      <c r="ED21" s="574"/>
      <c r="EE21" s="574"/>
      <c r="EF21" s="574"/>
      <c r="EG21" s="574"/>
      <c r="EH21" s="574"/>
      <c r="EI21" s="574"/>
      <c r="EJ21" s="575"/>
      <c r="EK21" s="191"/>
      <c r="EL21" s="192"/>
      <c r="EM21" s="192"/>
      <c r="EN21" s="192"/>
      <c r="EO21" s="192"/>
      <c r="EP21" s="193"/>
    </row>
    <row r="22" spans="2:146" ht="10.5" customHeight="1" x14ac:dyDescent="0.15">
      <c r="B22" s="603" t="str">
        <f>完成工事高!C11</f>
        <v/>
      </c>
      <c r="C22" s="580"/>
      <c r="D22" s="590" t="s">
        <v>140</v>
      </c>
      <c r="E22" s="624"/>
      <c r="F22" s="624"/>
      <c r="G22" s="624"/>
      <c r="H22" s="624"/>
      <c r="I22" s="624"/>
      <c r="J22" s="624"/>
      <c r="K22" s="624"/>
      <c r="L22" s="624"/>
      <c r="M22" s="624"/>
      <c r="N22" s="624"/>
      <c r="O22" s="624"/>
      <c r="P22" s="624"/>
      <c r="Q22" s="624"/>
      <c r="R22" s="624"/>
      <c r="S22" s="624"/>
      <c r="T22" s="624"/>
      <c r="U22" s="625"/>
      <c r="V22" s="576" t="str">
        <f>'経営状況・自己資本額、平均利益額'!W10</f>
        <v/>
      </c>
      <c r="W22" s="574"/>
      <c r="X22" s="574"/>
      <c r="Y22" s="574"/>
      <c r="Z22" s="574"/>
      <c r="AA22" s="575"/>
      <c r="AB22" s="622" t="str">
        <f>完成工事高!L11</f>
        <v/>
      </c>
      <c r="AC22" s="609"/>
      <c r="AD22" s="609"/>
      <c r="AE22" s="609"/>
      <c r="AF22" s="609"/>
      <c r="AG22" s="609"/>
      <c r="AH22" s="609"/>
      <c r="AI22" s="609"/>
      <c r="AJ22" s="609"/>
      <c r="AK22" s="610"/>
      <c r="AL22" s="622" t="str">
        <f>完成工事高!M11</f>
        <v/>
      </c>
      <c r="AM22" s="609"/>
      <c r="AN22" s="609"/>
      <c r="AO22" s="609"/>
      <c r="AP22" s="609"/>
      <c r="AQ22" s="610"/>
      <c r="AR22" s="622" t="str">
        <f>元請完成工事高!L11</f>
        <v/>
      </c>
      <c r="AS22" s="609"/>
      <c r="AT22" s="609"/>
      <c r="AU22" s="609"/>
      <c r="AV22" s="609"/>
      <c r="AW22" s="609"/>
      <c r="AX22" s="609"/>
      <c r="AY22" s="609"/>
      <c r="AZ22" s="609"/>
      <c r="BA22" s="610"/>
      <c r="BB22" s="622" t="str">
        <f>IF(V22="","",技術者!G11)</f>
        <v/>
      </c>
      <c r="BC22" s="609"/>
      <c r="BD22" s="609"/>
      <c r="BE22" s="609"/>
      <c r="BF22" s="610"/>
      <c r="BG22" s="272" t="s">
        <v>566</v>
      </c>
      <c r="BH22" s="609" t="str">
        <f>IF(V22="","",技術者!H11)</f>
        <v/>
      </c>
      <c r="BI22" s="609"/>
      <c r="BJ22" s="609"/>
      <c r="BK22" s="273" t="s">
        <v>567</v>
      </c>
      <c r="BL22" s="622" t="str">
        <f>IF(V22="","",技術者!I11)</f>
        <v/>
      </c>
      <c r="BM22" s="609"/>
      <c r="BN22" s="609"/>
      <c r="BO22" s="609"/>
      <c r="BP22" s="610"/>
      <c r="BQ22" s="622" t="str">
        <f>IF(V22="","",技術者!J11+技術者!K11)</f>
        <v/>
      </c>
      <c r="BR22" s="609"/>
      <c r="BS22" s="609"/>
      <c r="BT22" s="609"/>
      <c r="BU22" s="610"/>
      <c r="BV22" s="622" t="str">
        <f>IF(V22="","",技術者!L11+技術者!M11)</f>
        <v/>
      </c>
      <c r="BW22" s="609"/>
      <c r="BX22" s="609"/>
      <c r="BY22" s="609"/>
      <c r="BZ22" s="610"/>
      <c r="CA22" s="622" t="str">
        <f>IF(V22="","",技術者!N11)</f>
        <v/>
      </c>
      <c r="CB22" s="609"/>
      <c r="CC22" s="609"/>
      <c r="CD22" s="609"/>
      <c r="CE22" s="610"/>
      <c r="CF22" s="573" t="str">
        <f>技術者!R11</f>
        <v/>
      </c>
      <c r="CG22" s="574"/>
      <c r="CH22" s="574"/>
      <c r="CI22" s="574"/>
      <c r="CJ22" s="574"/>
      <c r="CK22" s="575"/>
      <c r="CM22" s="190"/>
      <c r="CN22" s="571" t="s">
        <v>477</v>
      </c>
      <c r="CO22" s="588"/>
      <c r="CP22" s="588"/>
      <c r="CQ22" s="588"/>
      <c r="CR22" s="588"/>
      <c r="CS22" s="588"/>
      <c r="CT22" s="588"/>
      <c r="CU22" s="588"/>
      <c r="CV22" s="588"/>
      <c r="CW22" s="588"/>
      <c r="CX22" s="588"/>
      <c r="CY22" s="588"/>
      <c r="CZ22" s="588"/>
      <c r="DA22" s="588"/>
      <c r="DB22" s="588"/>
      <c r="DC22" s="588"/>
      <c r="DD22" s="588"/>
      <c r="DE22" s="588"/>
      <c r="DF22" s="588"/>
      <c r="DG22" s="588"/>
      <c r="DH22" s="588"/>
      <c r="DI22" s="588"/>
      <c r="DJ22" s="588"/>
      <c r="DK22" s="588"/>
      <c r="DL22" s="588"/>
      <c r="DM22" s="588"/>
      <c r="DN22" s="588"/>
      <c r="DO22" s="588"/>
      <c r="DP22" s="588"/>
      <c r="DQ22" s="588"/>
      <c r="DR22" s="588"/>
      <c r="DS22" s="588"/>
      <c r="DT22" s="588"/>
      <c r="DU22" s="588"/>
      <c r="DV22" s="588"/>
      <c r="DW22" s="588"/>
      <c r="DX22" s="588"/>
      <c r="DY22" s="588"/>
      <c r="DZ22" s="589"/>
      <c r="EA22" s="576" t="str">
        <f>社会性等!AN6</f>
        <v>有</v>
      </c>
      <c r="EB22" s="577"/>
      <c r="EC22" s="577"/>
      <c r="ED22" s="577"/>
      <c r="EE22" s="577"/>
      <c r="EF22" s="577"/>
      <c r="EG22" s="577"/>
      <c r="EH22" s="577"/>
      <c r="EI22" s="577"/>
      <c r="EJ22" s="578"/>
      <c r="EK22" s="194"/>
      <c r="EP22" s="195"/>
    </row>
    <row r="23" spans="2:146" ht="10.5" customHeight="1" x14ac:dyDescent="0.15">
      <c r="B23" s="631" t="str">
        <f>完成工事高!C12</f>
        <v>特</v>
      </c>
      <c r="C23" s="630"/>
      <c r="D23" s="634" t="s">
        <v>141</v>
      </c>
      <c r="E23" s="635"/>
      <c r="F23" s="635"/>
      <c r="G23" s="635"/>
      <c r="H23" s="635"/>
      <c r="I23" s="635"/>
      <c r="J23" s="635"/>
      <c r="K23" s="635"/>
      <c r="L23" s="635"/>
      <c r="M23" s="635"/>
      <c r="N23" s="635"/>
      <c r="O23" s="635"/>
      <c r="P23" s="635"/>
      <c r="Q23" s="635"/>
      <c r="R23" s="635"/>
      <c r="S23" s="635"/>
      <c r="T23" s="635"/>
      <c r="U23" s="636"/>
      <c r="V23" s="576">
        <f>'経営状況・自己資本額、平均利益額'!W11</f>
        <v>314</v>
      </c>
      <c r="W23" s="574"/>
      <c r="X23" s="574"/>
      <c r="Y23" s="574"/>
      <c r="Z23" s="574"/>
      <c r="AA23" s="575"/>
      <c r="AB23" s="622">
        <f>完成工事高!L12</f>
        <v>240</v>
      </c>
      <c r="AC23" s="609"/>
      <c r="AD23" s="609"/>
      <c r="AE23" s="609"/>
      <c r="AF23" s="609"/>
      <c r="AG23" s="609"/>
      <c r="AH23" s="609"/>
      <c r="AI23" s="609"/>
      <c r="AJ23" s="609"/>
      <c r="AK23" s="610"/>
      <c r="AL23" s="622">
        <f>完成工事高!M12</f>
        <v>400</v>
      </c>
      <c r="AM23" s="609"/>
      <c r="AN23" s="609"/>
      <c r="AO23" s="609"/>
      <c r="AP23" s="609"/>
      <c r="AQ23" s="610"/>
      <c r="AR23" s="622">
        <f>元請完成工事高!L12</f>
        <v>0</v>
      </c>
      <c r="AS23" s="609"/>
      <c r="AT23" s="609"/>
      <c r="AU23" s="609"/>
      <c r="AV23" s="609"/>
      <c r="AW23" s="609"/>
      <c r="AX23" s="609"/>
      <c r="AY23" s="609"/>
      <c r="AZ23" s="609"/>
      <c r="BA23" s="610"/>
      <c r="BB23" s="622">
        <f>IF(V23="","",技術者!G12)</f>
        <v>5</v>
      </c>
      <c r="BC23" s="609"/>
      <c r="BD23" s="609"/>
      <c r="BE23" s="609"/>
      <c r="BF23" s="610"/>
      <c r="BG23" s="272" t="s">
        <v>566</v>
      </c>
      <c r="BH23" s="609">
        <f>IF(V23="","",技術者!H12)</f>
        <v>5</v>
      </c>
      <c r="BI23" s="609"/>
      <c r="BJ23" s="609"/>
      <c r="BK23" s="273" t="s">
        <v>567</v>
      </c>
      <c r="BL23" s="622">
        <f>IF(V23="","",技術者!I12)</f>
        <v>0</v>
      </c>
      <c r="BM23" s="609"/>
      <c r="BN23" s="609"/>
      <c r="BO23" s="609"/>
      <c r="BP23" s="610"/>
      <c r="BQ23" s="622">
        <f>IF(V23="","",技術者!J12+技術者!K12)</f>
        <v>3</v>
      </c>
      <c r="BR23" s="609"/>
      <c r="BS23" s="609"/>
      <c r="BT23" s="609"/>
      <c r="BU23" s="610"/>
      <c r="BV23" s="622">
        <f>IF(V23="","",技術者!L12+技術者!M12)</f>
        <v>5</v>
      </c>
      <c r="BW23" s="609"/>
      <c r="BX23" s="609"/>
      <c r="BY23" s="609"/>
      <c r="BZ23" s="610"/>
      <c r="CA23" s="622">
        <f>IF(V23="","",技術者!N12)</f>
        <v>0</v>
      </c>
      <c r="CB23" s="609"/>
      <c r="CC23" s="609"/>
      <c r="CD23" s="609"/>
      <c r="CE23" s="610"/>
      <c r="CF23" s="573">
        <f>技術者!R12</f>
        <v>456</v>
      </c>
      <c r="CG23" s="574"/>
      <c r="CH23" s="574"/>
      <c r="CI23" s="574"/>
      <c r="CJ23" s="574"/>
      <c r="CK23" s="575"/>
      <c r="CM23" s="190"/>
      <c r="CN23" s="571" t="s">
        <v>476</v>
      </c>
      <c r="CO23" s="588"/>
      <c r="CP23" s="588"/>
      <c r="CQ23" s="588"/>
      <c r="CR23" s="588"/>
      <c r="CS23" s="588"/>
      <c r="CT23" s="588"/>
      <c r="CU23" s="588"/>
      <c r="CV23" s="588"/>
      <c r="CW23" s="588"/>
      <c r="CX23" s="588"/>
      <c r="CY23" s="588"/>
      <c r="CZ23" s="588"/>
      <c r="DA23" s="588"/>
      <c r="DB23" s="588"/>
      <c r="DC23" s="588"/>
      <c r="DD23" s="588"/>
      <c r="DE23" s="588"/>
      <c r="DF23" s="588"/>
      <c r="DG23" s="588"/>
      <c r="DH23" s="588"/>
      <c r="DI23" s="588"/>
      <c r="DJ23" s="588"/>
      <c r="DK23" s="588"/>
      <c r="DL23" s="588"/>
      <c r="DM23" s="588"/>
      <c r="DN23" s="588"/>
      <c r="DO23" s="588"/>
      <c r="DP23" s="588"/>
      <c r="DQ23" s="588"/>
      <c r="DR23" s="588"/>
      <c r="DS23" s="588"/>
      <c r="DT23" s="588"/>
      <c r="DU23" s="588"/>
      <c r="DV23" s="588"/>
      <c r="DW23" s="588"/>
      <c r="DX23" s="588"/>
      <c r="DY23" s="588"/>
      <c r="DZ23" s="589"/>
      <c r="EA23" s="576" t="str">
        <f>社会性等!AN7</f>
        <v>有</v>
      </c>
      <c r="EB23" s="577"/>
      <c r="EC23" s="577"/>
      <c r="ED23" s="577"/>
      <c r="EE23" s="577"/>
      <c r="EF23" s="577"/>
      <c r="EG23" s="577"/>
      <c r="EH23" s="577"/>
      <c r="EI23" s="577"/>
      <c r="EJ23" s="578"/>
      <c r="EK23" s="194"/>
      <c r="EP23" s="195"/>
    </row>
    <row r="24" spans="2:146" ht="10.5" customHeight="1" x14ac:dyDescent="0.15">
      <c r="B24" s="632"/>
      <c r="C24" s="633"/>
      <c r="D24" s="189"/>
      <c r="E24" s="590" t="s">
        <v>142</v>
      </c>
      <c r="F24" s="624"/>
      <c r="G24" s="624"/>
      <c r="H24" s="624"/>
      <c r="I24" s="624"/>
      <c r="J24" s="624"/>
      <c r="K24" s="624"/>
      <c r="L24" s="624"/>
      <c r="M24" s="624"/>
      <c r="N24" s="624"/>
      <c r="O24" s="624"/>
      <c r="P24" s="624"/>
      <c r="Q24" s="624"/>
      <c r="R24" s="624"/>
      <c r="S24" s="624"/>
      <c r="T24" s="624"/>
      <c r="U24" s="625"/>
      <c r="V24" s="576">
        <f>'経営状況・自己資本額、平均利益額'!W12</f>
        <v>313</v>
      </c>
      <c r="W24" s="574"/>
      <c r="X24" s="574"/>
      <c r="Y24" s="574"/>
      <c r="Z24" s="574"/>
      <c r="AA24" s="575"/>
      <c r="AB24" s="622">
        <f>完成工事高!L13</f>
        <v>0</v>
      </c>
      <c r="AC24" s="609"/>
      <c r="AD24" s="609"/>
      <c r="AE24" s="609"/>
      <c r="AF24" s="609"/>
      <c r="AG24" s="609"/>
      <c r="AH24" s="609"/>
      <c r="AI24" s="609"/>
      <c r="AJ24" s="609"/>
      <c r="AK24" s="610"/>
      <c r="AL24" s="622">
        <f>完成工事高!M13</f>
        <v>397</v>
      </c>
      <c r="AM24" s="609"/>
      <c r="AN24" s="609"/>
      <c r="AO24" s="609"/>
      <c r="AP24" s="609"/>
      <c r="AQ24" s="610"/>
      <c r="AR24" s="622">
        <f>元請完成工事高!L13</f>
        <v>0</v>
      </c>
      <c r="AS24" s="609"/>
      <c r="AT24" s="609"/>
      <c r="AU24" s="609"/>
      <c r="AV24" s="609"/>
      <c r="AW24" s="609"/>
      <c r="AX24" s="609"/>
      <c r="AY24" s="609"/>
      <c r="AZ24" s="609"/>
      <c r="BA24" s="610"/>
      <c r="BB24" s="622"/>
      <c r="BC24" s="609"/>
      <c r="BD24" s="609"/>
      <c r="BE24" s="609"/>
      <c r="BF24" s="610"/>
      <c r="BG24" s="626"/>
      <c r="BH24" s="627"/>
      <c r="BI24" s="627"/>
      <c r="BJ24" s="627"/>
      <c r="BK24" s="628"/>
      <c r="BL24" s="622"/>
      <c r="BM24" s="609"/>
      <c r="BN24" s="609"/>
      <c r="BO24" s="609"/>
      <c r="BP24" s="610"/>
      <c r="BQ24" s="622"/>
      <c r="BR24" s="609"/>
      <c r="BS24" s="609"/>
      <c r="BT24" s="609"/>
      <c r="BU24" s="610"/>
      <c r="BV24" s="622"/>
      <c r="BW24" s="609"/>
      <c r="BX24" s="609"/>
      <c r="BY24" s="609"/>
      <c r="BZ24" s="610"/>
      <c r="CA24" s="622"/>
      <c r="CB24" s="609"/>
      <c r="CC24" s="609"/>
      <c r="CD24" s="609"/>
      <c r="CE24" s="610"/>
      <c r="CF24" s="573">
        <f>技術者!R13</f>
        <v>456</v>
      </c>
      <c r="CG24" s="574"/>
      <c r="CH24" s="574"/>
      <c r="CI24" s="574"/>
      <c r="CJ24" s="574"/>
      <c r="CK24" s="575"/>
      <c r="CM24" s="190"/>
      <c r="CN24" s="571" t="s">
        <v>60</v>
      </c>
      <c r="CO24" s="588"/>
      <c r="CP24" s="588"/>
      <c r="CQ24" s="588"/>
      <c r="CR24" s="588"/>
      <c r="CS24" s="588"/>
      <c r="CT24" s="588"/>
      <c r="CU24" s="588"/>
      <c r="CV24" s="588"/>
      <c r="CW24" s="588"/>
      <c r="CX24" s="588"/>
      <c r="CY24" s="588"/>
      <c r="CZ24" s="588"/>
      <c r="DA24" s="588"/>
      <c r="DB24" s="588"/>
      <c r="DC24" s="588"/>
      <c r="DD24" s="588"/>
      <c r="DE24" s="588"/>
      <c r="DF24" s="588"/>
      <c r="DG24" s="588"/>
      <c r="DH24" s="588"/>
      <c r="DI24" s="588"/>
      <c r="DJ24" s="588"/>
      <c r="DK24" s="588"/>
      <c r="DL24" s="588"/>
      <c r="DM24" s="588"/>
      <c r="DN24" s="588"/>
      <c r="DO24" s="588"/>
      <c r="DP24" s="588"/>
      <c r="DQ24" s="588"/>
      <c r="DR24" s="588"/>
      <c r="DS24" s="588"/>
      <c r="DT24" s="588"/>
      <c r="DU24" s="588"/>
      <c r="DV24" s="588"/>
      <c r="DW24" s="588"/>
      <c r="DX24" s="588"/>
      <c r="DY24" s="588"/>
      <c r="DZ24" s="589"/>
      <c r="EA24" s="576" t="str">
        <f>社会性等!AN8</f>
        <v>有</v>
      </c>
      <c r="EB24" s="577"/>
      <c r="EC24" s="577"/>
      <c r="ED24" s="577"/>
      <c r="EE24" s="577"/>
      <c r="EF24" s="577"/>
      <c r="EG24" s="577"/>
      <c r="EH24" s="577"/>
      <c r="EI24" s="577"/>
      <c r="EJ24" s="578"/>
      <c r="EK24" s="194"/>
      <c r="EP24" s="195"/>
    </row>
    <row r="25" spans="2:146" ht="10.5" customHeight="1" x14ac:dyDescent="0.15">
      <c r="B25" s="603" t="str">
        <f>完成工事高!C14</f>
        <v/>
      </c>
      <c r="C25" s="580"/>
      <c r="D25" s="590" t="s">
        <v>61</v>
      </c>
      <c r="E25" s="624"/>
      <c r="F25" s="624"/>
      <c r="G25" s="624"/>
      <c r="H25" s="624"/>
      <c r="I25" s="624"/>
      <c r="J25" s="624"/>
      <c r="K25" s="624"/>
      <c r="L25" s="624"/>
      <c r="M25" s="624"/>
      <c r="N25" s="624"/>
      <c r="O25" s="624"/>
      <c r="P25" s="624"/>
      <c r="Q25" s="624"/>
      <c r="R25" s="624"/>
      <c r="S25" s="624"/>
      <c r="T25" s="624"/>
      <c r="U25" s="625"/>
      <c r="V25" s="576" t="str">
        <f>'経営状況・自己資本額、平均利益額'!W13</f>
        <v/>
      </c>
      <c r="W25" s="574"/>
      <c r="X25" s="574"/>
      <c r="Y25" s="574"/>
      <c r="Z25" s="574"/>
      <c r="AA25" s="575"/>
      <c r="AB25" s="622" t="str">
        <f>完成工事高!L14</f>
        <v/>
      </c>
      <c r="AC25" s="609"/>
      <c r="AD25" s="609"/>
      <c r="AE25" s="609"/>
      <c r="AF25" s="609"/>
      <c r="AG25" s="609"/>
      <c r="AH25" s="609"/>
      <c r="AI25" s="609"/>
      <c r="AJ25" s="609"/>
      <c r="AK25" s="610"/>
      <c r="AL25" s="622" t="str">
        <f>完成工事高!M14</f>
        <v/>
      </c>
      <c r="AM25" s="609"/>
      <c r="AN25" s="609"/>
      <c r="AO25" s="609"/>
      <c r="AP25" s="609"/>
      <c r="AQ25" s="610"/>
      <c r="AR25" s="622" t="str">
        <f>元請完成工事高!L14</f>
        <v/>
      </c>
      <c r="AS25" s="609"/>
      <c r="AT25" s="609"/>
      <c r="AU25" s="609"/>
      <c r="AV25" s="609"/>
      <c r="AW25" s="609"/>
      <c r="AX25" s="609"/>
      <c r="AY25" s="609"/>
      <c r="AZ25" s="609"/>
      <c r="BA25" s="610"/>
      <c r="BB25" s="622" t="str">
        <f>IF(V25="","",技術者!G14)</f>
        <v/>
      </c>
      <c r="BC25" s="609"/>
      <c r="BD25" s="609"/>
      <c r="BE25" s="609"/>
      <c r="BF25" s="610"/>
      <c r="BG25" s="272" t="s">
        <v>566</v>
      </c>
      <c r="BH25" s="609" t="str">
        <f>IF(V25="","",技術者!H14)</f>
        <v/>
      </c>
      <c r="BI25" s="609"/>
      <c r="BJ25" s="609"/>
      <c r="BK25" s="273" t="s">
        <v>567</v>
      </c>
      <c r="BL25" s="622" t="str">
        <f>IF(V25="","",技術者!I14)</f>
        <v/>
      </c>
      <c r="BM25" s="609"/>
      <c r="BN25" s="609"/>
      <c r="BO25" s="609"/>
      <c r="BP25" s="610"/>
      <c r="BQ25" s="622" t="str">
        <f>IF(V25="","",技術者!J14+技術者!K14)</f>
        <v/>
      </c>
      <c r="BR25" s="609"/>
      <c r="BS25" s="609"/>
      <c r="BT25" s="609"/>
      <c r="BU25" s="610"/>
      <c r="BV25" s="622" t="str">
        <f>IF(V25="","",技術者!L14+技術者!M14)</f>
        <v/>
      </c>
      <c r="BW25" s="609"/>
      <c r="BX25" s="609"/>
      <c r="BY25" s="609"/>
      <c r="BZ25" s="610"/>
      <c r="CA25" s="622" t="str">
        <f>IF(V25="","",技術者!N14)</f>
        <v/>
      </c>
      <c r="CB25" s="609"/>
      <c r="CC25" s="609"/>
      <c r="CD25" s="609"/>
      <c r="CE25" s="610"/>
      <c r="CF25" s="573" t="str">
        <f>技術者!R14</f>
        <v/>
      </c>
      <c r="CG25" s="574"/>
      <c r="CH25" s="574"/>
      <c r="CI25" s="574"/>
      <c r="CJ25" s="574"/>
      <c r="CK25" s="575"/>
      <c r="CM25" s="190"/>
      <c r="CN25" s="571" t="s">
        <v>243</v>
      </c>
      <c r="CO25" s="588"/>
      <c r="CP25" s="588"/>
      <c r="CQ25" s="588"/>
      <c r="CR25" s="588"/>
      <c r="CS25" s="588"/>
      <c r="CT25" s="588"/>
      <c r="CU25" s="588"/>
      <c r="CV25" s="588"/>
      <c r="CW25" s="588"/>
      <c r="CX25" s="588"/>
      <c r="CY25" s="588"/>
      <c r="CZ25" s="588"/>
      <c r="DA25" s="588"/>
      <c r="DB25" s="588"/>
      <c r="DC25" s="588"/>
      <c r="DD25" s="588"/>
      <c r="DE25" s="588"/>
      <c r="DF25" s="588"/>
      <c r="DG25" s="588"/>
      <c r="DH25" s="588"/>
      <c r="DI25" s="588"/>
      <c r="DJ25" s="588"/>
      <c r="DK25" s="588"/>
      <c r="DL25" s="588"/>
      <c r="DM25" s="588"/>
      <c r="DN25" s="588"/>
      <c r="DO25" s="588"/>
      <c r="DP25" s="588"/>
      <c r="DQ25" s="588"/>
      <c r="DR25" s="588"/>
      <c r="DS25" s="588"/>
      <c r="DT25" s="588"/>
      <c r="DU25" s="588"/>
      <c r="DV25" s="588"/>
      <c r="DW25" s="588"/>
      <c r="DX25" s="588"/>
      <c r="DY25" s="588"/>
      <c r="DZ25" s="589"/>
      <c r="EA25" s="576" t="str">
        <f>社会性等!AN9</f>
        <v>有</v>
      </c>
      <c r="EB25" s="577"/>
      <c r="EC25" s="577"/>
      <c r="ED25" s="577"/>
      <c r="EE25" s="577"/>
      <c r="EF25" s="577"/>
      <c r="EG25" s="577"/>
      <c r="EH25" s="577"/>
      <c r="EI25" s="577"/>
      <c r="EJ25" s="578"/>
      <c r="EK25" s="194"/>
      <c r="EP25" s="195"/>
    </row>
    <row r="26" spans="2:146" ht="10.5" customHeight="1" x14ac:dyDescent="0.15">
      <c r="B26" s="603" t="str">
        <f>完成工事高!C15</f>
        <v/>
      </c>
      <c r="C26" s="580"/>
      <c r="D26" s="590" t="s">
        <v>143</v>
      </c>
      <c r="E26" s="624"/>
      <c r="F26" s="624"/>
      <c r="G26" s="624"/>
      <c r="H26" s="624"/>
      <c r="I26" s="624"/>
      <c r="J26" s="624"/>
      <c r="K26" s="624"/>
      <c r="L26" s="624"/>
      <c r="M26" s="624"/>
      <c r="N26" s="624"/>
      <c r="O26" s="624"/>
      <c r="P26" s="624"/>
      <c r="Q26" s="624"/>
      <c r="R26" s="624"/>
      <c r="S26" s="624"/>
      <c r="T26" s="624"/>
      <c r="U26" s="625"/>
      <c r="V26" s="576" t="str">
        <f>'経営状況・自己資本額、平均利益額'!W14</f>
        <v/>
      </c>
      <c r="W26" s="574"/>
      <c r="X26" s="574"/>
      <c r="Y26" s="574"/>
      <c r="Z26" s="574"/>
      <c r="AA26" s="575"/>
      <c r="AB26" s="622" t="str">
        <f>完成工事高!L15</f>
        <v/>
      </c>
      <c r="AC26" s="609"/>
      <c r="AD26" s="609"/>
      <c r="AE26" s="609"/>
      <c r="AF26" s="609"/>
      <c r="AG26" s="609"/>
      <c r="AH26" s="609"/>
      <c r="AI26" s="609"/>
      <c r="AJ26" s="609"/>
      <c r="AK26" s="610"/>
      <c r="AL26" s="622" t="str">
        <f>完成工事高!M15</f>
        <v/>
      </c>
      <c r="AM26" s="609"/>
      <c r="AN26" s="609"/>
      <c r="AO26" s="609"/>
      <c r="AP26" s="609"/>
      <c r="AQ26" s="610"/>
      <c r="AR26" s="622" t="str">
        <f>元請完成工事高!L15</f>
        <v/>
      </c>
      <c r="AS26" s="609"/>
      <c r="AT26" s="609"/>
      <c r="AU26" s="609"/>
      <c r="AV26" s="609"/>
      <c r="AW26" s="609"/>
      <c r="AX26" s="609"/>
      <c r="AY26" s="609"/>
      <c r="AZ26" s="609"/>
      <c r="BA26" s="610"/>
      <c r="BB26" s="622" t="str">
        <f>IF(V26="","",技術者!G15)</f>
        <v/>
      </c>
      <c r="BC26" s="609"/>
      <c r="BD26" s="609"/>
      <c r="BE26" s="609"/>
      <c r="BF26" s="610"/>
      <c r="BG26" s="272" t="s">
        <v>566</v>
      </c>
      <c r="BH26" s="609" t="str">
        <f>IF(V26="","",技術者!H15)</f>
        <v/>
      </c>
      <c r="BI26" s="609"/>
      <c r="BJ26" s="609"/>
      <c r="BK26" s="273" t="s">
        <v>567</v>
      </c>
      <c r="BL26" s="622" t="str">
        <f>IF(V26="","",技術者!I15)</f>
        <v/>
      </c>
      <c r="BM26" s="609"/>
      <c r="BN26" s="609"/>
      <c r="BO26" s="609"/>
      <c r="BP26" s="610"/>
      <c r="BQ26" s="622" t="str">
        <f>IF(V26="","",技術者!J15+技術者!K15)</f>
        <v/>
      </c>
      <c r="BR26" s="609"/>
      <c r="BS26" s="609"/>
      <c r="BT26" s="609"/>
      <c r="BU26" s="610"/>
      <c r="BV26" s="622" t="str">
        <f>IF(V26="","",技術者!L15+技術者!M15)</f>
        <v/>
      </c>
      <c r="BW26" s="609"/>
      <c r="BX26" s="609"/>
      <c r="BY26" s="609"/>
      <c r="BZ26" s="610"/>
      <c r="CA26" s="622" t="str">
        <f>IF(V26="","",技術者!N15)</f>
        <v/>
      </c>
      <c r="CB26" s="609"/>
      <c r="CC26" s="609"/>
      <c r="CD26" s="609"/>
      <c r="CE26" s="610"/>
      <c r="CF26" s="573" t="str">
        <f>技術者!R15</f>
        <v/>
      </c>
      <c r="CG26" s="574"/>
      <c r="CH26" s="574"/>
      <c r="CI26" s="574"/>
      <c r="CJ26" s="574"/>
      <c r="CK26" s="575"/>
      <c r="CM26" s="190"/>
      <c r="CN26" s="571" t="s">
        <v>69</v>
      </c>
      <c r="CO26" s="588"/>
      <c r="CP26" s="588"/>
      <c r="CQ26" s="588"/>
      <c r="CR26" s="588"/>
      <c r="CS26" s="588"/>
      <c r="CT26" s="588"/>
      <c r="CU26" s="588"/>
      <c r="CV26" s="588"/>
      <c r="CW26" s="588"/>
      <c r="CX26" s="588"/>
      <c r="CY26" s="588"/>
      <c r="CZ26" s="588"/>
      <c r="DA26" s="588"/>
      <c r="DB26" s="588"/>
      <c r="DC26" s="588"/>
      <c r="DD26" s="588"/>
      <c r="DE26" s="588"/>
      <c r="DF26" s="588"/>
      <c r="DG26" s="588"/>
      <c r="DH26" s="588"/>
      <c r="DI26" s="588"/>
      <c r="DJ26" s="588"/>
      <c r="DK26" s="588"/>
      <c r="DL26" s="588"/>
      <c r="DM26" s="588"/>
      <c r="DN26" s="588"/>
      <c r="DO26" s="588"/>
      <c r="DP26" s="588"/>
      <c r="DQ26" s="588"/>
      <c r="DR26" s="588"/>
      <c r="DS26" s="588"/>
      <c r="DT26" s="588"/>
      <c r="DU26" s="588"/>
      <c r="DV26" s="588"/>
      <c r="DW26" s="588"/>
      <c r="DX26" s="588"/>
      <c r="DY26" s="588"/>
      <c r="DZ26" s="589"/>
      <c r="EA26" s="576" t="str">
        <f>社会性等!AN10</f>
        <v>有</v>
      </c>
      <c r="EB26" s="577"/>
      <c r="EC26" s="577"/>
      <c r="ED26" s="577"/>
      <c r="EE26" s="577"/>
      <c r="EF26" s="577"/>
      <c r="EG26" s="577"/>
      <c r="EH26" s="577"/>
      <c r="EI26" s="577"/>
      <c r="EJ26" s="578"/>
      <c r="EK26" s="194"/>
      <c r="EP26" s="195"/>
    </row>
    <row r="27" spans="2:146" ht="10.5" customHeight="1" x14ac:dyDescent="0.15">
      <c r="B27" s="603" t="str">
        <f>完成工事高!C16</f>
        <v/>
      </c>
      <c r="C27" s="580"/>
      <c r="D27" s="590" t="s">
        <v>144</v>
      </c>
      <c r="E27" s="624"/>
      <c r="F27" s="624"/>
      <c r="G27" s="624"/>
      <c r="H27" s="624"/>
      <c r="I27" s="624"/>
      <c r="J27" s="624"/>
      <c r="K27" s="624"/>
      <c r="L27" s="624"/>
      <c r="M27" s="624"/>
      <c r="N27" s="624"/>
      <c r="O27" s="624"/>
      <c r="P27" s="624"/>
      <c r="Q27" s="624"/>
      <c r="R27" s="624"/>
      <c r="S27" s="624"/>
      <c r="T27" s="624"/>
      <c r="U27" s="625"/>
      <c r="V27" s="576" t="str">
        <f>'経営状況・自己資本額、平均利益額'!W15</f>
        <v/>
      </c>
      <c r="W27" s="574"/>
      <c r="X27" s="574"/>
      <c r="Y27" s="574"/>
      <c r="Z27" s="574"/>
      <c r="AA27" s="575"/>
      <c r="AB27" s="622" t="str">
        <f>完成工事高!L16</f>
        <v/>
      </c>
      <c r="AC27" s="609"/>
      <c r="AD27" s="609"/>
      <c r="AE27" s="609"/>
      <c r="AF27" s="609"/>
      <c r="AG27" s="609"/>
      <c r="AH27" s="609"/>
      <c r="AI27" s="609"/>
      <c r="AJ27" s="609"/>
      <c r="AK27" s="610"/>
      <c r="AL27" s="622" t="str">
        <f>完成工事高!M16</f>
        <v/>
      </c>
      <c r="AM27" s="609"/>
      <c r="AN27" s="609"/>
      <c r="AO27" s="609"/>
      <c r="AP27" s="609"/>
      <c r="AQ27" s="610"/>
      <c r="AR27" s="622" t="str">
        <f>元請完成工事高!L16</f>
        <v/>
      </c>
      <c r="AS27" s="609"/>
      <c r="AT27" s="609"/>
      <c r="AU27" s="609"/>
      <c r="AV27" s="609"/>
      <c r="AW27" s="609"/>
      <c r="AX27" s="609"/>
      <c r="AY27" s="609"/>
      <c r="AZ27" s="609"/>
      <c r="BA27" s="610"/>
      <c r="BB27" s="622" t="str">
        <f>IF(V27="","",技術者!G16)</f>
        <v/>
      </c>
      <c r="BC27" s="609"/>
      <c r="BD27" s="609"/>
      <c r="BE27" s="609"/>
      <c r="BF27" s="610"/>
      <c r="BG27" s="272" t="s">
        <v>566</v>
      </c>
      <c r="BH27" s="609" t="str">
        <f>IF(V27="","",技術者!H16)</f>
        <v/>
      </c>
      <c r="BI27" s="609"/>
      <c r="BJ27" s="609"/>
      <c r="BK27" s="273" t="s">
        <v>567</v>
      </c>
      <c r="BL27" s="622" t="str">
        <f>IF(V27="","",技術者!I16)</f>
        <v/>
      </c>
      <c r="BM27" s="609"/>
      <c r="BN27" s="609"/>
      <c r="BO27" s="609"/>
      <c r="BP27" s="610"/>
      <c r="BQ27" s="622" t="str">
        <f>IF(V27="","",技術者!J16+技術者!K16)</f>
        <v/>
      </c>
      <c r="BR27" s="609"/>
      <c r="BS27" s="609"/>
      <c r="BT27" s="609"/>
      <c r="BU27" s="610"/>
      <c r="BV27" s="622" t="str">
        <f>IF(V27="","",技術者!L16+技術者!M16)</f>
        <v/>
      </c>
      <c r="BW27" s="609"/>
      <c r="BX27" s="609"/>
      <c r="BY27" s="609"/>
      <c r="BZ27" s="610"/>
      <c r="CA27" s="622" t="str">
        <f>IF(V27="","",技術者!N16)</f>
        <v/>
      </c>
      <c r="CB27" s="609"/>
      <c r="CC27" s="609"/>
      <c r="CD27" s="609"/>
      <c r="CE27" s="610"/>
      <c r="CF27" s="573" t="str">
        <f>技術者!R16</f>
        <v/>
      </c>
      <c r="CG27" s="574"/>
      <c r="CH27" s="574"/>
      <c r="CI27" s="574"/>
      <c r="CJ27" s="574"/>
      <c r="CK27" s="575"/>
      <c r="CM27" s="190"/>
      <c r="CN27" s="594" t="s">
        <v>764</v>
      </c>
      <c r="CO27" s="594"/>
      <c r="CP27" s="594"/>
      <c r="CQ27" s="594"/>
      <c r="CR27" s="594"/>
      <c r="CS27" s="594"/>
      <c r="CT27" s="594"/>
      <c r="CU27" s="594"/>
      <c r="CV27" s="594"/>
      <c r="CW27" s="594"/>
      <c r="CX27" s="594"/>
      <c r="CY27" s="594"/>
      <c r="CZ27" s="594"/>
      <c r="DA27" s="594"/>
      <c r="DB27" s="594"/>
      <c r="DC27" s="594"/>
      <c r="DD27" s="594"/>
      <c r="DE27" s="594"/>
      <c r="DF27" s="594"/>
      <c r="DG27" s="594"/>
      <c r="DH27" s="594"/>
      <c r="DI27" s="594"/>
      <c r="DJ27" s="594"/>
      <c r="DK27" s="594"/>
      <c r="DL27" s="594"/>
      <c r="DM27" s="594"/>
      <c r="DN27" s="594"/>
      <c r="DO27" s="594"/>
      <c r="DP27" s="594"/>
      <c r="DQ27" s="594"/>
      <c r="DR27" s="594"/>
      <c r="DS27" s="594"/>
      <c r="DT27" s="594"/>
      <c r="DU27" s="594"/>
      <c r="DV27" s="594"/>
      <c r="DW27" s="594"/>
      <c r="DX27" s="594"/>
      <c r="DY27" s="594"/>
      <c r="DZ27" s="595"/>
      <c r="EA27" s="576" t="str">
        <f>社会性等!AN11</f>
        <v>該当</v>
      </c>
      <c r="EB27" s="577"/>
      <c r="EC27" s="577"/>
      <c r="ED27" s="577"/>
      <c r="EE27" s="577"/>
      <c r="EF27" s="577"/>
      <c r="EG27" s="577"/>
      <c r="EH27" s="577"/>
      <c r="EI27" s="577"/>
      <c r="EJ27" s="578"/>
      <c r="EP27" s="195"/>
    </row>
    <row r="28" spans="2:146" ht="10.5" customHeight="1" x14ac:dyDescent="0.15">
      <c r="B28" s="603" t="str">
        <f>完成工事高!C17</f>
        <v/>
      </c>
      <c r="C28" s="580"/>
      <c r="D28" s="590" t="s">
        <v>65</v>
      </c>
      <c r="E28" s="624"/>
      <c r="F28" s="624"/>
      <c r="G28" s="624"/>
      <c r="H28" s="624"/>
      <c r="I28" s="624"/>
      <c r="J28" s="624"/>
      <c r="K28" s="624"/>
      <c r="L28" s="624"/>
      <c r="M28" s="624"/>
      <c r="N28" s="624"/>
      <c r="O28" s="624"/>
      <c r="P28" s="624"/>
      <c r="Q28" s="624"/>
      <c r="R28" s="624"/>
      <c r="S28" s="624"/>
      <c r="T28" s="624"/>
      <c r="U28" s="625"/>
      <c r="V28" s="576" t="str">
        <f>'経営状況・自己資本額、平均利益額'!W16</f>
        <v/>
      </c>
      <c r="W28" s="574"/>
      <c r="X28" s="574"/>
      <c r="Y28" s="574"/>
      <c r="Z28" s="574"/>
      <c r="AA28" s="575"/>
      <c r="AB28" s="622" t="str">
        <f>完成工事高!L17</f>
        <v/>
      </c>
      <c r="AC28" s="609"/>
      <c r="AD28" s="609"/>
      <c r="AE28" s="609"/>
      <c r="AF28" s="609"/>
      <c r="AG28" s="609"/>
      <c r="AH28" s="609"/>
      <c r="AI28" s="609"/>
      <c r="AJ28" s="609"/>
      <c r="AK28" s="610"/>
      <c r="AL28" s="622" t="str">
        <f>完成工事高!M17</f>
        <v/>
      </c>
      <c r="AM28" s="609"/>
      <c r="AN28" s="609"/>
      <c r="AO28" s="609"/>
      <c r="AP28" s="609"/>
      <c r="AQ28" s="610"/>
      <c r="AR28" s="622" t="str">
        <f>元請完成工事高!L17</f>
        <v/>
      </c>
      <c r="AS28" s="609"/>
      <c r="AT28" s="609"/>
      <c r="AU28" s="609"/>
      <c r="AV28" s="609"/>
      <c r="AW28" s="609"/>
      <c r="AX28" s="609"/>
      <c r="AY28" s="609"/>
      <c r="AZ28" s="609"/>
      <c r="BA28" s="610"/>
      <c r="BB28" s="622" t="str">
        <f>IF(V28="","",技術者!G17)</f>
        <v/>
      </c>
      <c r="BC28" s="609"/>
      <c r="BD28" s="609"/>
      <c r="BE28" s="609"/>
      <c r="BF28" s="610"/>
      <c r="BG28" s="272" t="s">
        <v>566</v>
      </c>
      <c r="BH28" s="609" t="str">
        <f>IF(V28="","",技術者!H17)</f>
        <v/>
      </c>
      <c r="BI28" s="609"/>
      <c r="BJ28" s="609"/>
      <c r="BK28" s="273" t="s">
        <v>567</v>
      </c>
      <c r="BL28" s="622" t="str">
        <f>IF(V28="","",技術者!I17)</f>
        <v/>
      </c>
      <c r="BM28" s="609"/>
      <c r="BN28" s="609"/>
      <c r="BO28" s="609"/>
      <c r="BP28" s="610"/>
      <c r="BQ28" s="622" t="str">
        <f>IF(V28="","",技術者!J17+技術者!K17)</f>
        <v/>
      </c>
      <c r="BR28" s="609"/>
      <c r="BS28" s="609"/>
      <c r="BT28" s="609"/>
      <c r="BU28" s="610"/>
      <c r="BV28" s="622" t="str">
        <f>IF(V28="","",技術者!L17+技術者!M17)</f>
        <v/>
      </c>
      <c r="BW28" s="609"/>
      <c r="BX28" s="609"/>
      <c r="BY28" s="609"/>
      <c r="BZ28" s="610"/>
      <c r="CA28" s="622" t="str">
        <f>IF(V28="","",技術者!N17)</f>
        <v/>
      </c>
      <c r="CB28" s="609"/>
      <c r="CC28" s="609"/>
      <c r="CD28" s="609"/>
      <c r="CE28" s="610"/>
      <c r="CF28" s="573" t="str">
        <f>技術者!R17</f>
        <v/>
      </c>
      <c r="CG28" s="574"/>
      <c r="CH28" s="574"/>
      <c r="CI28" s="574"/>
      <c r="CJ28" s="574"/>
      <c r="CK28" s="575"/>
      <c r="CM28" s="190"/>
      <c r="CN28" s="571" t="s">
        <v>520</v>
      </c>
      <c r="CO28" s="571"/>
      <c r="CP28" s="571"/>
      <c r="CQ28" s="571"/>
      <c r="CR28" s="571"/>
      <c r="CS28" s="571"/>
      <c r="CT28" s="571"/>
      <c r="CU28" s="571"/>
      <c r="CV28" s="571"/>
      <c r="CW28" s="571"/>
      <c r="CX28" s="571"/>
      <c r="CY28" s="571"/>
      <c r="CZ28" s="571"/>
      <c r="DA28" s="571"/>
      <c r="DB28" s="571"/>
      <c r="DC28" s="571"/>
      <c r="DD28" s="571"/>
      <c r="DE28" s="571"/>
      <c r="DF28" s="571"/>
      <c r="DG28" s="571"/>
      <c r="DH28" s="571"/>
      <c r="DI28" s="571"/>
      <c r="DJ28" s="571"/>
      <c r="DK28" s="571"/>
      <c r="DL28" s="571"/>
      <c r="DM28" s="571"/>
      <c r="DN28" s="571"/>
      <c r="DO28" s="571"/>
      <c r="DP28" s="571"/>
      <c r="DQ28" s="571"/>
      <c r="DR28" s="571"/>
      <c r="DS28" s="571"/>
      <c r="DT28" s="571"/>
      <c r="DU28" s="571"/>
      <c r="DV28" s="571"/>
      <c r="DW28" s="571"/>
      <c r="DX28" s="571"/>
      <c r="DY28" s="571"/>
      <c r="DZ28" s="572"/>
      <c r="EA28" s="576" t="str">
        <f>社会性等!AN12</f>
        <v>該当</v>
      </c>
      <c r="EB28" s="577"/>
      <c r="EC28" s="577"/>
      <c r="ED28" s="577"/>
      <c r="EE28" s="577"/>
      <c r="EF28" s="577"/>
      <c r="EG28" s="577"/>
      <c r="EH28" s="577"/>
      <c r="EI28" s="577"/>
      <c r="EJ28" s="578"/>
      <c r="EP28" s="195"/>
    </row>
    <row r="29" spans="2:146" ht="10.5" customHeight="1" x14ac:dyDescent="0.15">
      <c r="B29" s="603" t="str">
        <f>完成工事高!C18</f>
        <v/>
      </c>
      <c r="C29" s="580"/>
      <c r="D29" s="590" t="s">
        <v>159</v>
      </c>
      <c r="E29" s="624"/>
      <c r="F29" s="624"/>
      <c r="G29" s="624"/>
      <c r="H29" s="624"/>
      <c r="I29" s="624"/>
      <c r="J29" s="624"/>
      <c r="K29" s="624"/>
      <c r="L29" s="624"/>
      <c r="M29" s="624"/>
      <c r="N29" s="624"/>
      <c r="O29" s="624"/>
      <c r="P29" s="624"/>
      <c r="Q29" s="624"/>
      <c r="R29" s="624"/>
      <c r="S29" s="624"/>
      <c r="T29" s="624"/>
      <c r="U29" s="625"/>
      <c r="V29" s="576" t="str">
        <f>'経営状況・自己資本額、平均利益額'!W17</f>
        <v/>
      </c>
      <c r="W29" s="574"/>
      <c r="X29" s="574"/>
      <c r="Y29" s="574"/>
      <c r="Z29" s="574"/>
      <c r="AA29" s="575"/>
      <c r="AB29" s="622" t="str">
        <f>完成工事高!L18</f>
        <v/>
      </c>
      <c r="AC29" s="609"/>
      <c r="AD29" s="609"/>
      <c r="AE29" s="609"/>
      <c r="AF29" s="609"/>
      <c r="AG29" s="609"/>
      <c r="AH29" s="609"/>
      <c r="AI29" s="609"/>
      <c r="AJ29" s="609"/>
      <c r="AK29" s="610"/>
      <c r="AL29" s="622" t="str">
        <f>完成工事高!M18</f>
        <v/>
      </c>
      <c r="AM29" s="609"/>
      <c r="AN29" s="609"/>
      <c r="AO29" s="609"/>
      <c r="AP29" s="609"/>
      <c r="AQ29" s="610"/>
      <c r="AR29" s="622" t="str">
        <f>元請完成工事高!L18</f>
        <v/>
      </c>
      <c r="AS29" s="609"/>
      <c r="AT29" s="609"/>
      <c r="AU29" s="609"/>
      <c r="AV29" s="609"/>
      <c r="AW29" s="609"/>
      <c r="AX29" s="609"/>
      <c r="AY29" s="609"/>
      <c r="AZ29" s="609"/>
      <c r="BA29" s="610"/>
      <c r="BB29" s="622" t="str">
        <f>IF(V29="","",技術者!G18)</f>
        <v/>
      </c>
      <c r="BC29" s="609"/>
      <c r="BD29" s="609"/>
      <c r="BE29" s="609"/>
      <c r="BF29" s="610"/>
      <c r="BG29" s="272" t="s">
        <v>566</v>
      </c>
      <c r="BH29" s="609" t="str">
        <f>IF(V29="","",技術者!H18)</f>
        <v/>
      </c>
      <c r="BI29" s="609"/>
      <c r="BJ29" s="609"/>
      <c r="BK29" s="273" t="s">
        <v>567</v>
      </c>
      <c r="BL29" s="622" t="str">
        <f>IF(V29="","",技術者!I18)</f>
        <v/>
      </c>
      <c r="BM29" s="609"/>
      <c r="BN29" s="609"/>
      <c r="BO29" s="609"/>
      <c r="BP29" s="610"/>
      <c r="BQ29" s="622" t="str">
        <f>IF(V29="","",技術者!J18+技術者!K18)</f>
        <v/>
      </c>
      <c r="BR29" s="609"/>
      <c r="BS29" s="609"/>
      <c r="BT29" s="609"/>
      <c r="BU29" s="610"/>
      <c r="BV29" s="622" t="str">
        <f>IF(V29="","",技術者!L18+技術者!M18)</f>
        <v/>
      </c>
      <c r="BW29" s="609"/>
      <c r="BX29" s="609"/>
      <c r="BY29" s="609"/>
      <c r="BZ29" s="610"/>
      <c r="CA29" s="622" t="str">
        <f>IF(V29="","",技術者!N18)</f>
        <v/>
      </c>
      <c r="CB29" s="609"/>
      <c r="CC29" s="609"/>
      <c r="CD29" s="609"/>
      <c r="CE29" s="610"/>
      <c r="CF29" s="573" t="str">
        <f>技術者!R18</f>
        <v/>
      </c>
      <c r="CG29" s="574"/>
      <c r="CH29" s="574"/>
      <c r="CI29" s="574"/>
      <c r="CJ29" s="574"/>
      <c r="CK29" s="575"/>
      <c r="CM29" s="190"/>
      <c r="CN29" s="594" t="s">
        <v>623</v>
      </c>
      <c r="CO29" s="594"/>
      <c r="CP29" s="594"/>
      <c r="CQ29" s="594"/>
      <c r="CR29" s="594"/>
      <c r="CS29" s="594"/>
      <c r="CT29" s="594"/>
      <c r="CU29" s="594"/>
      <c r="CV29" s="594"/>
      <c r="CW29" s="594"/>
      <c r="CX29" s="594"/>
      <c r="CY29" s="594"/>
      <c r="CZ29" s="594"/>
      <c r="DA29" s="594"/>
      <c r="DB29" s="594"/>
      <c r="DC29" s="594"/>
      <c r="DD29" s="594"/>
      <c r="DE29" s="594"/>
      <c r="DF29" s="594"/>
      <c r="DG29" s="594"/>
      <c r="DH29" s="594"/>
      <c r="DI29" s="594"/>
      <c r="DJ29" s="594"/>
      <c r="DK29" s="594"/>
      <c r="DL29" s="594"/>
      <c r="DM29" s="594"/>
      <c r="DN29" s="594"/>
      <c r="DO29" s="594"/>
      <c r="DP29" s="594"/>
      <c r="DQ29" s="594"/>
      <c r="DR29" s="594"/>
      <c r="DS29" s="594"/>
      <c r="DT29" s="594"/>
      <c r="DU29" s="594"/>
      <c r="DV29" s="594"/>
      <c r="DW29" s="594"/>
      <c r="DX29" s="594"/>
      <c r="DY29" s="594"/>
      <c r="DZ29" s="595"/>
      <c r="EA29" s="573">
        <f>社会性等!Z13</f>
        <v>248</v>
      </c>
      <c r="EB29" s="574"/>
      <c r="EC29" s="574"/>
      <c r="ED29" s="574"/>
      <c r="EE29" s="574"/>
      <c r="EF29" s="574"/>
      <c r="EG29" s="574"/>
      <c r="EH29" s="579" t="s">
        <v>628</v>
      </c>
      <c r="EI29" s="579"/>
      <c r="EJ29" s="580"/>
      <c r="EP29" s="195"/>
    </row>
    <row r="30" spans="2:146" ht="10.5" customHeight="1" x14ac:dyDescent="0.15">
      <c r="B30" s="631" t="str">
        <f>完成工事高!C19</f>
        <v/>
      </c>
      <c r="C30" s="630"/>
      <c r="D30" s="634" t="s">
        <v>145</v>
      </c>
      <c r="E30" s="635"/>
      <c r="F30" s="635"/>
      <c r="G30" s="635"/>
      <c r="H30" s="635"/>
      <c r="I30" s="635"/>
      <c r="J30" s="635"/>
      <c r="K30" s="635"/>
      <c r="L30" s="635"/>
      <c r="M30" s="635"/>
      <c r="N30" s="635"/>
      <c r="O30" s="635"/>
      <c r="P30" s="635"/>
      <c r="Q30" s="635"/>
      <c r="R30" s="635"/>
      <c r="S30" s="635"/>
      <c r="T30" s="635"/>
      <c r="U30" s="636"/>
      <c r="V30" s="576" t="str">
        <f>'経営状況・自己資本額、平均利益額'!W18</f>
        <v/>
      </c>
      <c r="W30" s="574"/>
      <c r="X30" s="574"/>
      <c r="Y30" s="574"/>
      <c r="Z30" s="574"/>
      <c r="AA30" s="575"/>
      <c r="AB30" s="622" t="str">
        <f>完成工事高!L19</f>
        <v/>
      </c>
      <c r="AC30" s="609"/>
      <c r="AD30" s="609"/>
      <c r="AE30" s="609"/>
      <c r="AF30" s="609"/>
      <c r="AG30" s="609"/>
      <c r="AH30" s="609"/>
      <c r="AI30" s="609"/>
      <c r="AJ30" s="609"/>
      <c r="AK30" s="610"/>
      <c r="AL30" s="622" t="str">
        <f>完成工事高!M19</f>
        <v/>
      </c>
      <c r="AM30" s="609"/>
      <c r="AN30" s="609"/>
      <c r="AO30" s="609"/>
      <c r="AP30" s="609"/>
      <c r="AQ30" s="610"/>
      <c r="AR30" s="622" t="str">
        <f>元請完成工事高!L19</f>
        <v/>
      </c>
      <c r="AS30" s="609"/>
      <c r="AT30" s="609"/>
      <c r="AU30" s="609"/>
      <c r="AV30" s="609"/>
      <c r="AW30" s="609"/>
      <c r="AX30" s="609"/>
      <c r="AY30" s="609"/>
      <c r="AZ30" s="609"/>
      <c r="BA30" s="610"/>
      <c r="BB30" s="622" t="str">
        <f>IF(V30="","",技術者!G19)</f>
        <v/>
      </c>
      <c r="BC30" s="609"/>
      <c r="BD30" s="609"/>
      <c r="BE30" s="609"/>
      <c r="BF30" s="610"/>
      <c r="BG30" s="272" t="s">
        <v>566</v>
      </c>
      <c r="BH30" s="609" t="str">
        <f>IF(V30="","",技術者!H19)</f>
        <v/>
      </c>
      <c r="BI30" s="609"/>
      <c r="BJ30" s="609"/>
      <c r="BK30" s="273" t="s">
        <v>567</v>
      </c>
      <c r="BL30" s="622" t="str">
        <f>IF(V30="","",技術者!I19)</f>
        <v/>
      </c>
      <c r="BM30" s="609"/>
      <c r="BN30" s="609"/>
      <c r="BO30" s="609"/>
      <c r="BP30" s="610"/>
      <c r="BQ30" s="622" t="str">
        <f>IF(V30="","",技術者!J19+技術者!K19)</f>
        <v/>
      </c>
      <c r="BR30" s="609"/>
      <c r="BS30" s="609"/>
      <c r="BT30" s="609"/>
      <c r="BU30" s="610"/>
      <c r="BV30" s="622" t="str">
        <f>IF(V30="","",技術者!L19+技術者!M19)</f>
        <v/>
      </c>
      <c r="BW30" s="609"/>
      <c r="BX30" s="609"/>
      <c r="BY30" s="609"/>
      <c r="BZ30" s="610"/>
      <c r="CA30" s="622" t="str">
        <f>IF(V30="","",技術者!N19)</f>
        <v/>
      </c>
      <c r="CB30" s="609"/>
      <c r="CC30" s="609"/>
      <c r="CD30" s="609"/>
      <c r="CE30" s="610"/>
      <c r="CF30" s="573" t="str">
        <f>技術者!R19</f>
        <v/>
      </c>
      <c r="CG30" s="574"/>
      <c r="CH30" s="574"/>
      <c r="CI30" s="574"/>
      <c r="CJ30" s="574"/>
      <c r="CK30" s="575"/>
      <c r="CM30" s="190"/>
      <c r="CN30" s="594" t="s">
        <v>624</v>
      </c>
      <c r="CO30" s="594"/>
      <c r="CP30" s="594"/>
      <c r="CQ30" s="594"/>
      <c r="CR30" s="594"/>
      <c r="CS30" s="594"/>
      <c r="CT30" s="594"/>
      <c r="CU30" s="594"/>
      <c r="CV30" s="594"/>
      <c r="CW30" s="594"/>
      <c r="CX30" s="594"/>
      <c r="CY30" s="594"/>
      <c r="CZ30" s="594"/>
      <c r="DA30" s="594"/>
      <c r="DB30" s="594"/>
      <c r="DC30" s="594"/>
      <c r="DD30" s="594"/>
      <c r="DE30" s="594"/>
      <c r="DF30" s="594"/>
      <c r="DG30" s="594"/>
      <c r="DH30" s="594"/>
      <c r="DI30" s="594"/>
      <c r="DJ30" s="594"/>
      <c r="DK30" s="594"/>
      <c r="DL30" s="594"/>
      <c r="DM30" s="594"/>
      <c r="DN30" s="594"/>
      <c r="DO30" s="594"/>
      <c r="DP30" s="594"/>
      <c r="DQ30" s="594"/>
      <c r="DR30" s="594"/>
      <c r="DS30" s="594"/>
      <c r="DT30" s="594"/>
      <c r="DU30" s="594"/>
      <c r="DV30" s="594"/>
      <c r="DW30" s="594"/>
      <c r="DX30" s="594"/>
      <c r="DY30" s="594"/>
      <c r="DZ30" s="595"/>
      <c r="EA30" s="573">
        <f>社会性等!Z14</f>
        <v>16</v>
      </c>
      <c r="EB30" s="574"/>
      <c r="EC30" s="574"/>
      <c r="ED30" s="574"/>
      <c r="EE30" s="574"/>
      <c r="EF30" s="574"/>
      <c r="EG30" s="574"/>
      <c r="EH30" s="574" t="s">
        <v>260</v>
      </c>
      <c r="EI30" s="574"/>
      <c r="EJ30" s="575"/>
      <c r="EP30" s="195"/>
    </row>
    <row r="31" spans="2:146" ht="10.5" customHeight="1" x14ac:dyDescent="0.15">
      <c r="B31" s="632"/>
      <c r="C31" s="633"/>
      <c r="D31" s="189"/>
      <c r="E31" s="590" t="s">
        <v>146</v>
      </c>
      <c r="F31" s="624"/>
      <c r="G31" s="624"/>
      <c r="H31" s="624"/>
      <c r="I31" s="624"/>
      <c r="J31" s="624"/>
      <c r="K31" s="624"/>
      <c r="L31" s="624"/>
      <c r="M31" s="624"/>
      <c r="N31" s="624"/>
      <c r="O31" s="624"/>
      <c r="P31" s="624"/>
      <c r="Q31" s="624"/>
      <c r="R31" s="624"/>
      <c r="S31" s="624"/>
      <c r="T31" s="624"/>
      <c r="U31" s="625"/>
      <c r="V31" s="576" t="str">
        <f>'経営状況・自己資本額、平均利益額'!W19</f>
        <v/>
      </c>
      <c r="W31" s="574"/>
      <c r="X31" s="574"/>
      <c r="Y31" s="574"/>
      <c r="Z31" s="574"/>
      <c r="AA31" s="575"/>
      <c r="AB31" s="622" t="str">
        <f>完成工事高!L20</f>
        <v/>
      </c>
      <c r="AC31" s="609"/>
      <c r="AD31" s="609"/>
      <c r="AE31" s="609"/>
      <c r="AF31" s="609"/>
      <c r="AG31" s="609"/>
      <c r="AH31" s="609"/>
      <c r="AI31" s="609"/>
      <c r="AJ31" s="609"/>
      <c r="AK31" s="610"/>
      <c r="AL31" s="622" t="str">
        <f>完成工事高!M20</f>
        <v/>
      </c>
      <c r="AM31" s="609"/>
      <c r="AN31" s="609"/>
      <c r="AO31" s="609"/>
      <c r="AP31" s="609"/>
      <c r="AQ31" s="610"/>
      <c r="AR31" s="622" t="str">
        <f>元請完成工事高!L20</f>
        <v/>
      </c>
      <c r="AS31" s="609"/>
      <c r="AT31" s="609"/>
      <c r="AU31" s="609"/>
      <c r="AV31" s="609"/>
      <c r="AW31" s="609"/>
      <c r="AX31" s="609"/>
      <c r="AY31" s="609"/>
      <c r="AZ31" s="609"/>
      <c r="BA31" s="610"/>
      <c r="BB31" s="622"/>
      <c r="BC31" s="609"/>
      <c r="BD31" s="609"/>
      <c r="BE31" s="609"/>
      <c r="BF31" s="610"/>
      <c r="BG31" s="626"/>
      <c r="BH31" s="627"/>
      <c r="BI31" s="627"/>
      <c r="BJ31" s="627"/>
      <c r="BK31" s="628"/>
      <c r="BL31" s="622"/>
      <c r="BM31" s="609"/>
      <c r="BN31" s="609"/>
      <c r="BO31" s="609"/>
      <c r="BP31" s="610"/>
      <c r="BQ31" s="622"/>
      <c r="BR31" s="609"/>
      <c r="BS31" s="609"/>
      <c r="BT31" s="609"/>
      <c r="BU31" s="610"/>
      <c r="BV31" s="622"/>
      <c r="BW31" s="609"/>
      <c r="BX31" s="609"/>
      <c r="BY31" s="609"/>
      <c r="BZ31" s="610"/>
      <c r="CA31" s="622"/>
      <c r="CB31" s="609"/>
      <c r="CC31" s="609"/>
      <c r="CD31" s="609"/>
      <c r="CE31" s="610"/>
      <c r="CF31" s="573" t="str">
        <f>技術者!R20</f>
        <v/>
      </c>
      <c r="CG31" s="574"/>
      <c r="CH31" s="574"/>
      <c r="CI31" s="574"/>
      <c r="CJ31" s="574"/>
      <c r="CK31" s="575"/>
      <c r="CM31" s="190"/>
      <c r="CN31" s="571" t="s">
        <v>766</v>
      </c>
      <c r="CO31" s="571"/>
      <c r="CP31" s="571"/>
      <c r="CQ31" s="571"/>
      <c r="CR31" s="571"/>
      <c r="CS31" s="571"/>
      <c r="CT31" s="571"/>
      <c r="CU31" s="571"/>
      <c r="CV31" s="571"/>
      <c r="CW31" s="571"/>
      <c r="CX31" s="571"/>
      <c r="CY31" s="571"/>
      <c r="CZ31" s="571"/>
      <c r="DA31" s="571"/>
      <c r="DB31" s="571"/>
      <c r="DC31" s="571"/>
      <c r="DD31" s="571"/>
      <c r="DE31" s="571"/>
      <c r="DF31" s="571"/>
      <c r="DG31" s="571"/>
      <c r="DH31" s="571"/>
      <c r="DI31" s="571"/>
      <c r="DJ31" s="571"/>
      <c r="DK31" s="571"/>
      <c r="DL31" s="571"/>
      <c r="DM31" s="571"/>
      <c r="DN31" s="571"/>
      <c r="DO31" s="571"/>
      <c r="DP31" s="571"/>
      <c r="DQ31" s="571"/>
      <c r="DR31" s="571"/>
      <c r="DS31" s="571"/>
      <c r="DT31" s="571"/>
      <c r="DU31" s="571"/>
      <c r="DV31" s="571"/>
      <c r="DW31" s="571"/>
      <c r="DX31" s="571"/>
      <c r="DY31" s="571"/>
      <c r="DZ31" s="572"/>
      <c r="EA31" s="573">
        <f>社会性等!Z15</f>
        <v>6</v>
      </c>
      <c r="EB31" s="574"/>
      <c r="EC31" s="574"/>
      <c r="ED31" s="574"/>
      <c r="EE31" s="574"/>
      <c r="EF31" s="574"/>
      <c r="EG31" s="574"/>
      <c r="EH31" s="574" t="s">
        <v>260</v>
      </c>
      <c r="EI31" s="574"/>
      <c r="EJ31" s="575"/>
      <c r="EP31" s="195"/>
    </row>
    <row r="32" spans="2:146" ht="10.5" customHeight="1" x14ac:dyDescent="0.15">
      <c r="B32" s="603" t="str">
        <f>完成工事高!C21</f>
        <v/>
      </c>
      <c r="C32" s="580"/>
      <c r="D32" s="590" t="s">
        <v>147</v>
      </c>
      <c r="E32" s="624"/>
      <c r="F32" s="624"/>
      <c r="G32" s="624"/>
      <c r="H32" s="624"/>
      <c r="I32" s="624"/>
      <c r="J32" s="624"/>
      <c r="K32" s="624"/>
      <c r="L32" s="624"/>
      <c r="M32" s="624"/>
      <c r="N32" s="624"/>
      <c r="O32" s="624"/>
      <c r="P32" s="624"/>
      <c r="Q32" s="624"/>
      <c r="R32" s="624"/>
      <c r="S32" s="624"/>
      <c r="T32" s="624"/>
      <c r="U32" s="625"/>
      <c r="V32" s="576" t="str">
        <f>'経営状況・自己資本額、平均利益額'!W20</f>
        <v/>
      </c>
      <c r="W32" s="574"/>
      <c r="X32" s="574"/>
      <c r="Y32" s="574"/>
      <c r="Z32" s="574"/>
      <c r="AA32" s="575"/>
      <c r="AB32" s="622" t="str">
        <f>完成工事高!L21</f>
        <v/>
      </c>
      <c r="AC32" s="609"/>
      <c r="AD32" s="609"/>
      <c r="AE32" s="609"/>
      <c r="AF32" s="609"/>
      <c r="AG32" s="609"/>
      <c r="AH32" s="609"/>
      <c r="AI32" s="609"/>
      <c r="AJ32" s="609"/>
      <c r="AK32" s="610"/>
      <c r="AL32" s="622" t="str">
        <f>完成工事高!M21</f>
        <v/>
      </c>
      <c r="AM32" s="609"/>
      <c r="AN32" s="609"/>
      <c r="AO32" s="609"/>
      <c r="AP32" s="609"/>
      <c r="AQ32" s="610"/>
      <c r="AR32" s="622" t="str">
        <f>元請完成工事高!L21</f>
        <v/>
      </c>
      <c r="AS32" s="609"/>
      <c r="AT32" s="609"/>
      <c r="AU32" s="609"/>
      <c r="AV32" s="609"/>
      <c r="AW32" s="609"/>
      <c r="AX32" s="609"/>
      <c r="AY32" s="609"/>
      <c r="AZ32" s="609"/>
      <c r="BA32" s="610"/>
      <c r="BB32" s="622" t="str">
        <f>IF(V32="","",技術者!G21)</f>
        <v/>
      </c>
      <c r="BC32" s="609"/>
      <c r="BD32" s="609"/>
      <c r="BE32" s="609"/>
      <c r="BF32" s="610"/>
      <c r="BG32" s="272" t="s">
        <v>566</v>
      </c>
      <c r="BH32" s="609" t="str">
        <f>IF(V32="","",技術者!H21)</f>
        <v/>
      </c>
      <c r="BI32" s="609"/>
      <c r="BJ32" s="609"/>
      <c r="BK32" s="273" t="s">
        <v>567</v>
      </c>
      <c r="BL32" s="622" t="str">
        <f>IF(V32="","",技術者!I21)</f>
        <v/>
      </c>
      <c r="BM32" s="609"/>
      <c r="BN32" s="609"/>
      <c r="BO32" s="609"/>
      <c r="BP32" s="610"/>
      <c r="BQ32" s="622" t="str">
        <f>IF(V32="","",技術者!J21+技術者!K21)</f>
        <v/>
      </c>
      <c r="BR32" s="609"/>
      <c r="BS32" s="609"/>
      <c r="BT32" s="609"/>
      <c r="BU32" s="610"/>
      <c r="BV32" s="622" t="str">
        <f>IF(V32="","",技術者!L21+技術者!M21)</f>
        <v/>
      </c>
      <c r="BW32" s="609"/>
      <c r="BX32" s="609"/>
      <c r="BY32" s="609"/>
      <c r="BZ32" s="610"/>
      <c r="CA32" s="622" t="str">
        <f>IF(V32="","",技術者!N21)</f>
        <v/>
      </c>
      <c r="CB32" s="609"/>
      <c r="CC32" s="609"/>
      <c r="CD32" s="609"/>
      <c r="CE32" s="610"/>
      <c r="CF32" s="573" t="str">
        <f>技術者!R21</f>
        <v/>
      </c>
      <c r="CG32" s="574"/>
      <c r="CH32" s="574"/>
      <c r="CI32" s="574"/>
      <c r="CJ32" s="574"/>
      <c r="CK32" s="575"/>
      <c r="CM32" s="190"/>
      <c r="CN32" s="594" t="s">
        <v>625</v>
      </c>
      <c r="CO32" s="594"/>
      <c r="CP32" s="594"/>
      <c r="CQ32" s="594"/>
      <c r="CR32" s="594"/>
      <c r="CS32" s="594"/>
      <c r="CT32" s="594"/>
      <c r="CU32" s="594"/>
      <c r="CV32" s="594"/>
      <c r="CW32" s="594"/>
      <c r="CX32" s="594"/>
      <c r="CY32" s="594"/>
      <c r="CZ32" s="594"/>
      <c r="DA32" s="594"/>
      <c r="DB32" s="594"/>
      <c r="DC32" s="594"/>
      <c r="DD32" s="594"/>
      <c r="DE32" s="594"/>
      <c r="DF32" s="594"/>
      <c r="DG32" s="594"/>
      <c r="DH32" s="594"/>
      <c r="DI32" s="594"/>
      <c r="DJ32" s="594"/>
      <c r="DK32" s="594"/>
      <c r="DL32" s="594"/>
      <c r="DM32" s="594"/>
      <c r="DN32" s="594"/>
      <c r="DO32" s="594"/>
      <c r="DP32" s="594"/>
      <c r="DQ32" s="594"/>
      <c r="DR32" s="594"/>
      <c r="DS32" s="594"/>
      <c r="DT32" s="594"/>
      <c r="DU32" s="594"/>
      <c r="DV32" s="594"/>
      <c r="DW32" s="594"/>
      <c r="DX32" s="594"/>
      <c r="DY32" s="594"/>
      <c r="DZ32" s="595"/>
      <c r="EA32" s="573">
        <f>社会性等!Z16</f>
        <v>13</v>
      </c>
      <c r="EB32" s="574"/>
      <c r="EC32" s="574"/>
      <c r="ED32" s="574"/>
      <c r="EE32" s="574"/>
      <c r="EF32" s="574"/>
      <c r="EG32" s="574"/>
      <c r="EH32" s="574" t="s">
        <v>260</v>
      </c>
      <c r="EI32" s="574"/>
      <c r="EJ32" s="575"/>
      <c r="EP32" s="195"/>
    </row>
    <row r="33" spans="2:146" ht="10.5" customHeight="1" x14ac:dyDescent="0.15">
      <c r="B33" s="603" t="str">
        <f>完成工事高!C22</f>
        <v/>
      </c>
      <c r="C33" s="580"/>
      <c r="D33" s="590" t="s">
        <v>550</v>
      </c>
      <c r="E33" s="624"/>
      <c r="F33" s="624"/>
      <c r="G33" s="624"/>
      <c r="H33" s="624"/>
      <c r="I33" s="624"/>
      <c r="J33" s="624"/>
      <c r="K33" s="624"/>
      <c r="L33" s="624"/>
      <c r="M33" s="624"/>
      <c r="N33" s="624"/>
      <c r="O33" s="624"/>
      <c r="P33" s="624"/>
      <c r="Q33" s="624"/>
      <c r="R33" s="624"/>
      <c r="S33" s="624"/>
      <c r="T33" s="624"/>
      <c r="U33" s="625"/>
      <c r="V33" s="576" t="str">
        <f>'経営状況・自己資本額、平均利益額'!W21</f>
        <v/>
      </c>
      <c r="W33" s="574"/>
      <c r="X33" s="574"/>
      <c r="Y33" s="574"/>
      <c r="Z33" s="574"/>
      <c r="AA33" s="575"/>
      <c r="AB33" s="622" t="str">
        <f>完成工事高!L22</f>
        <v/>
      </c>
      <c r="AC33" s="609"/>
      <c r="AD33" s="609"/>
      <c r="AE33" s="609"/>
      <c r="AF33" s="609"/>
      <c r="AG33" s="609"/>
      <c r="AH33" s="609"/>
      <c r="AI33" s="609"/>
      <c r="AJ33" s="609"/>
      <c r="AK33" s="610"/>
      <c r="AL33" s="622" t="str">
        <f>完成工事高!M22</f>
        <v/>
      </c>
      <c r="AM33" s="609"/>
      <c r="AN33" s="609"/>
      <c r="AO33" s="609"/>
      <c r="AP33" s="609"/>
      <c r="AQ33" s="610"/>
      <c r="AR33" s="622" t="str">
        <f>元請完成工事高!L22</f>
        <v/>
      </c>
      <c r="AS33" s="609"/>
      <c r="AT33" s="609"/>
      <c r="AU33" s="609"/>
      <c r="AV33" s="609"/>
      <c r="AW33" s="609"/>
      <c r="AX33" s="609"/>
      <c r="AY33" s="609"/>
      <c r="AZ33" s="609"/>
      <c r="BA33" s="610"/>
      <c r="BB33" s="622" t="str">
        <f>IF(V33="","",技術者!G22)</f>
        <v/>
      </c>
      <c r="BC33" s="609"/>
      <c r="BD33" s="609"/>
      <c r="BE33" s="609"/>
      <c r="BF33" s="610"/>
      <c r="BG33" s="272" t="s">
        <v>566</v>
      </c>
      <c r="BH33" s="609" t="str">
        <f>IF(V33="","",技術者!H22)</f>
        <v/>
      </c>
      <c r="BI33" s="609"/>
      <c r="BJ33" s="609"/>
      <c r="BK33" s="273" t="s">
        <v>567</v>
      </c>
      <c r="BL33" s="622" t="str">
        <f>IF(V33="","",技術者!I22)</f>
        <v/>
      </c>
      <c r="BM33" s="609"/>
      <c r="BN33" s="609"/>
      <c r="BO33" s="609"/>
      <c r="BP33" s="610"/>
      <c r="BQ33" s="622" t="str">
        <f>IF(V33="","",技術者!J22+技術者!K22)</f>
        <v/>
      </c>
      <c r="BR33" s="609"/>
      <c r="BS33" s="609"/>
      <c r="BT33" s="609"/>
      <c r="BU33" s="610"/>
      <c r="BV33" s="622" t="str">
        <f>IF(V33="","",技術者!L22+技術者!M22)</f>
        <v/>
      </c>
      <c r="BW33" s="609"/>
      <c r="BX33" s="609"/>
      <c r="BY33" s="609"/>
      <c r="BZ33" s="610"/>
      <c r="CA33" s="622" t="str">
        <f>IF(V33="","",技術者!N22)</f>
        <v/>
      </c>
      <c r="CB33" s="609"/>
      <c r="CC33" s="609"/>
      <c r="CD33" s="609"/>
      <c r="CE33" s="610"/>
      <c r="CF33" s="573" t="str">
        <f>技術者!R22</f>
        <v/>
      </c>
      <c r="CG33" s="574"/>
      <c r="CH33" s="574"/>
      <c r="CI33" s="574"/>
      <c r="CJ33" s="574"/>
      <c r="CK33" s="575"/>
      <c r="CM33" s="188"/>
      <c r="CN33" s="571" t="s">
        <v>626</v>
      </c>
      <c r="CO33" s="571"/>
      <c r="CP33" s="571"/>
      <c r="CQ33" s="571"/>
      <c r="CR33" s="571"/>
      <c r="CS33" s="571"/>
      <c r="CT33" s="571"/>
      <c r="CU33" s="571"/>
      <c r="CV33" s="571"/>
      <c r="CW33" s="571"/>
      <c r="CX33" s="571"/>
      <c r="CY33" s="571"/>
      <c r="CZ33" s="571"/>
      <c r="DA33" s="571"/>
      <c r="DB33" s="571"/>
      <c r="DC33" s="571"/>
      <c r="DD33" s="571"/>
      <c r="DE33" s="571"/>
      <c r="DF33" s="571"/>
      <c r="DG33" s="571"/>
      <c r="DH33" s="571"/>
      <c r="DI33" s="571"/>
      <c r="DJ33" s="571"/>
      <c r="DK33" s="571"/>
      <c r="DL33" s="571"/>
      <c r="DM33" s="571"/>
      <c r="DN33" s="571"/>
      <c r="DO33" s="571"/>
      <c r="DP33" s="571"/>
      <c r="DQ33" s="571"/>
      <c r="DR33" s="571"/>
      <c r="DS33" s="571"/>
      <c r="DT33" s="571"/>
      <c r="DU33" s="571"/>
      <c r="DV33" s="571"/>
      <c r="DW33" s="571"/>
      <c r="DX33" s="571"/>
      <c r="DY33" s="571"/>
      <c r="DZ33" s="572"/>
      <c r="EA33" s="573">
        <f>社会性等!Z17</f>
        <v>1</v>
      </c>
      <c r="EB33" s="574"/>
      <c r="EC33" s="574"/>
      <c r="ED33" s="574"/>
      <c r="EE33" s="574"/>
      <c r="EF33" s="574"/>
      <c r="EG33" s="574"/>
      <c r="EH33" s="574" t="s">
        <v>260</v>
      </c>
      <c r="EI33" s="574"/>
      <c r="EJ33" s="575"/>
      <c r="EK33" s="205"/>
      <c r="EL33" s="203"/>
      <c r="EM33" s="203"/>
      <c r="EN33" s="203"/>
      <c r="EO33" s="203"/>
      <c r="EP33" s="204"/>
    </row>
    <row r="34" spans="2:146" ht="10.5" customHeight="1" x14ac:dyDescent="0.15">
      <c r="B34" s="603" t="str">
        <f>完成工事高!C23</f>
        <v/>
      </c>
      <c r="C34" s="580"/>
      <c r="D34" s="590" t="s">
        <v>26</v>
      </c>
      <c r="E34" s="624"/>
      <c r="F34" s="624"/>
      <c r="G34" s="624"/>
      <c r="H34" s="624"/>
      <c r="I34" s="624"/>
      <c r="J34" s="624"/>
      <c r="K34" s="624"/>
      <c r="L34" s="624"/>
      <c r="M34" s="624"/>
      <c r="N34" s="624"/>
      <c r="O34" s="624"/>
      <c r="P34" s="624"/>
      <c r="Q34" s="624"/>
      <c r="R34" s="624"/>
      <c r="S34" s="624"/>
      <c r="T34" s="624"/>
      <c r="U34" s="625"/>
      <c r="V34" s="576" t="str">
        <f>'経営状況・自己資本額、平均利益額'!W22</f>
        <v/>
      </c>
      <c r="W34" s="574"/>
      <c r="X34" s="574"/>
      <c r="Y34" s="574"/>
      <c r="Z34" s="574"/>
      <c r="AA34" s="575"/>
      <c r="AB34" s="622" t="str">
        <f>完成工事高!L23</f>
        <v/>
      </c>
      <c r="AC34" s="609"/>
      <c r="AD34" s="609"/>
      <c r="AE34" s="609"/>
      <c r="AF34" s="609"/>
      <c r="AG34" s="609"/>
      <c r="AH34" s="609"/>
      <c r="AI34" s="609"/>
      <c r="AJ34" s="609"/>
      <c r="AK34" s="610"/>
      <c r="AL34" s="622" t="str">
        <f>完成工事高!M23</f>
        <v/>
      </c>
      <c r="AM34" s="609"/>
      <c r="AN34" s="609"/>
      <c r="AO34" s="609"/>
      <c r="AP34" s="609"/>
      <c r="AQ34" s="610"/>
      <c r="AR34" s="622" t="str">
        <f>元請完成工事高!L23</f>
        <v/>
      </c>
      <c r="AS34" s="609"/>
      <c r="AT34" s="609"/>
      <c r="AU34" s="609"/>
      <c r="AV34" s="609"/>
      <c r="AW34" s="609"/>
      <c r="AX34" s="609"/>
      <c r="AY34" s="609"/>
      <c r="AZ34" s="609"/>
      <c r="BA34" s="610"/>
      <c r="BB34" s="622" t="str">
        <f>IF(V34="","",技術者!G23)</f>
        <v/>
      </c>
      <c r="BC34" s="609"/>
      <c r="BD34" s="609"/>
      <c r="BE34" s="609"/>
      <c r="BF34" s="610"/>
      <c r="BG34" s="272" t="s">
        <v>566</v>
      </c>
      <c r="BH34" s="609" t="str">
        <f>IF(V34="","",技術者!H23)</f>
        <v/>
      </c>
      <c r="BI34" s="609"/>
      <c r="BJ34" s="609"/>
      <c r="BK34" s="273" t="s">
        <v>567</v>
      </c>
      <c r="BL34" s="622" t="str">
        <f>IF(V34="","",技術者!I23)</f>
        <v/>
      </c>
      <c r="BM34" s="609"/>
      <c r="BN34" s="609"/>
      <c r="BO34" s="609"/>
      <c r="BP34" s="610"/>
      <c r="BQ34" s="622" t="str">
        <f>IF(V34="","",技術者!J23+技術者!K23)</f>
        <v/>
      </c>
      <c r="BR34" s="609"/>
      <c r="BS34" s="609"/>
      <c r="BT34" s="609"/>
      <c r="BU34" s="610"/>
      <c r="BV34" s="622" t="str">
        <f>IF(V34="","",技術者!L23+技術者!M23)</f>
        <v/>
      </c>
      <c r="BW34" s="609"/>
      <c r="BX34" s="609"/>
      <c r="BY34" s="609"/>
      <c r="BZ34" s="610"/>
      <c r="CA34" s="622" t="str">
        <f>IF(V34="","",技術者!N23)</f>
        <v/>
      </c>
      <c r="CB34" s="609"/>
      <c r="CC34" s="609"/>
      <c r="CD34" s="609"/>
      <c r="CE34" s="610"/>
      <c r="CF34" s="573" t="str">
        <f>技術者!R23</f>
        <v/>
      </c>
      <c r="CG34" s="574"/>
      <c r="CH34" s="574"/>
      <c r="CI34" s="574"/>
      <c r="CJ34" s="574"/>
      <c r="CK34" s="575"/>
      <c r="CM34" s="190"/>
      <c r="CN34" s="596" t="s">
        <v>743</v>
      </c>
      <c r="CO34" s="596"/>
      <c r="CP34" s="596"/>
      <c r="CQ34" s="596"/>
      <c r="CR34" s="596"/>
      <c r="CS34" s="596"/>
      <c r="CT34" s="596"/>
      <c r="CU34" s="596"/>
      <c r="CV34" s="596"/>
      <c r="CW34" s="596"/>
      <c r="CX34" s="596"/>
      <c r="CY34" s="596"/>
      <c r="CZ34" s="596"/>
      <c r="DA34" s="596"/>
      <c r="DB34" s="596"/>
      <c r="DC34" s="596"/>
      <c r="DD34" s="596"/>
      <c r="DE34" s="596"/>
      <c r="DF34" s="596"/>
      <c r="DG34" s="596"/>
      <c r="DH34" s="596"/>
      <c r="DI34" s="596"/>
      <c r="DJ34" s="596"/>
      <c r="DK34" s="596"/>
      <c r="DL34" s="596"/>
      <c r="DM34" s="596"/>
      <c r="DN34" s="596"/>
      <c r="DO34" s="596"/>
      <c r="DP34" s="596"/>
      <c r="DQ34" s="596"/>
      <c r="DR34" s="596"/>
      <c r="DS34" s="596"/>
      <c r="DT34" s="596"/>
      <c r="DU34" s="596"/>
      <c r="DV34" s="596"/>
      <c r="DW34" s="596"/>
      <c r="DX34" s="596"/>
      <c r="DY34" s="596"/>
      <c r="DZ34" s="597"/>
      <c r="EA34" s="581" t="str">
        <f>社会性等!AN18</f>
        <v>えるぼし（1段階目）</v>
      </c>
      <c r="EB34" s="582"/>
      <c r="EC34" s="582"/>
      <c r="ED34" s="582"/>
      <c r="EE34" s="582"/>
      <c r="EF34" s="582"/>
      <c r="EG34" s="582"/>
      <c r="EH34" s="582"/>
      <c r="EI34" s="582"/>
      <c r="EJ34" s="583"/>
      <c r="EP34" s="195"/>
    </row>
    <row r="35" spans="2:146" ht="10.5" customHeight="1" x14ac:dyDescent="0.15">
      <c r="B35" s="603" t="str">
        <f>完成工事高!C24</f>
        <v/>
      </c>
      <c r="C35" s="580"/>
      <c r="D35" s="590" t="s">
        <v>148</v>
      </c>
      <c r="E35" s="624"/>
      <c r="F35" s="624"/>
      <c r="G35" s="624"/>
      <c r="H35" s="624"/>
      <c r="I35" s="624"/>
      <c r="J35" s="624"/>
      <c r="K35" s="624"/>
      <c r="L35" s="624"/>
      <c r="M35" s="624"/>
      <c r="N35" s="624"/>
      <c r="O35" s="624"/>
      <c r="P35" s="624"/>
      <c r="Q35" s="624"/>
      <c r="R35" s="624"/>
      <c r="S35" s="624"/>
      <c r="T35" s="624"/>
      <c r="U35" s="625"/>
      <c r="V35" s="576" t="str">
        <f>'経営状況・自己資本額、平均利益額'!W23</f>
        <v/>
      </c>
      <c r="W35" s="574"/>
      <c r="X35" s="574"/>
      <c r="Y35" s="574"/>
      <c r="Z35" s="574"/>
      <c r="AA35" s="575"/>
      <c r="AB35" s="622" t="str">
        <f>完成工事高!L24</f>
        <v/>
      </c>
      <c r="AC35" s="609"/>
      <c r="AD35" s="609"/>
      <c r="AE35" s="609"/>
      <c r="AF35" s="609"/>
      <c r="AG35" s="609"/>
      <c r="AH35" s="609"/>
      <c r="AI35" s="609"/>
      <c r="AJ35" s="609"/>
      <c r="AK35" s="610"/>
      <c r="AL35" s="622" t="str">
        <f>完成工事高!M24</f>
        <v/>
      </c>
      <c r="AM35" s="609"/>
      <c r="AN35" s="609"/>
      <c r="AO35" s="609"/>
      <c r="AP35" s="609"/>
      <c r="AQ35" s="610"/>
      <c r="AR35" s="622" t="str">
        <f>元請完成工事高!L24</f>
        <v/>
      </c>
      <c r="AS35" s="609"/>
      <c r="AT35" s="609"/>
      <c r="AU35" s="609"/>
      <c r="AV35" s="609"/>
      <c r="AW35" s="609"/>
      <c r="AX35" s="609"/>
      <c r="AY35" s="609"/>
      <c r="AZ35" s="609"/>
      <c r="BA35" s="610"/>
      <c r="BB35" s="622" t="str">
        <f>IF(V35="","",技術者!G24)</f>
        <v/>
      </c>
      <c r="BC35" s="609"/>
      <c r="BD35" s="609"/>
      <c r="BE35" s="609"/>
      <c r="BF35" s="610"/>
      <c r="BG35" s="272" t="s">
        <v>566</v>
      </c>
      <c r="BH35" s="609" t="str">
        <f>IF(V35="","",技術者!H24)</f>
        <v/>
      </c>
      <c r="BI35" s="609"/>
      <c r="BJ35" s="609"/>
      <c r="BK35" s="273" t="s">
        <v>567</v>
      </c>
      <c r="BL35" s="622" t="str">
        <f>IF(V35="","",技術者!I24)</f>
        <v/>
      </c>
      <c r="BM35" s="609"/>
      <c r="BN35" s="609"/>
      <c r="BO35" s="609"/>
      <c r="BP35" s="610"/>
      <c r="BQ35" s="622" t="str">
        <f>IF(V35="","",技術者!J24+技術者!K24)</f>
        <v/>
      </c>
      <c r="BR35" s="609"/>
      <c r="BS35" s="609"/>
      <c r="BT35" s="609"/>
      <c r="BU35" s="610"/>
      <c r="BV35" s="622" t="str">
        <f>IF(V35="","",技術者!L24+技術者!M24)</f>
        <v/>
      </c>
      <c r="BW35" s="609"/>
      <c r="BX35" s="609"/>
      <c r="BY35" s="609"/>
      <c r="BZ35" s="610"/>
      <c r="CA35" s="622" t="str">
        <f>IF(V35="","",技術者!N24)</f>
        <v/>
      </c>
      <c r="CB35" s="609"/>
      <c r="CC35" s="609"/>
      <c r="CD35" s="609"/>
      <c r="CE35" s="610"/>
      <c r="CF35" s="573" t="str">
        <f>技術者!R24</f>
        <v/>
      </c>
      <c r="CG35" s="574"/>
      <c r="CH35" s="574"/>
      <c r="CI35" s="574"/>
      <c r="CJ35" s="574"/>
      <c r="CK35" s="575"/>
      <c r="CM35" s="190"/>
      <c r="CN35" s="571" t="s">
        <v>744</v>
      </c>
      <c r="CO35" s="571"/>
      <c r="CP35" s="571"/>
      <c r="CQ35" s="571"/>
      <c r="CR35" s="571"/>
      <c r="CS35" s="571"/>
      <c r="CT35" s="571"/>
      <c r="CU35" s="571"/>
      <c r="CV35" s="571"/>
      <c r="CW35" s="571"/>
      <c r="CX35" s="571"/>
      <c r="CY35" s="571"/>
      <c r="CZ35" s="571"/>
      <c r="DA35" s="571"/>
      <c r="DB35" s="571"/>
      <c r="DC35" s="571"/>
      <c r="DD35" s="571"/>
      <c r="DE35" s="571"/>
      <c r="DF35" s="571"/>
      <c r="DG35" s="571"/>
      <c r="DH35" s="571"/>
      <c r="DI35" s="571"/>
      <c r="DJ35" s="571"/>
      <c r="DK35" s="571"/>
      <c r="DL35" s="571"/>
      <c r="DM35" s="571"/>
      <c r="DN35" s="571"/>
      <c r="DO35" s="571"/>
      <c r="DP35" s="571"/>
      <c r="DQ35" s="571"/>
      <c r="DR35" s="571"/>
      <c r="DS35" s="571"/>
      <c r="DT35" s="571"/>
      <c r="DU35" s="571"/>
      <c r="DV35" s="571"/>
      <c r="DW35" s="571"/>
      <c r="DX35" s="571"/>
      <c r="DY35" s="571"/>
      <c r="DZ35" s="572"/>
      <c r="EA35" s="581" t="str">
        <f>社会性等!AN19</f>
        <v>プラチナくるみん</v>
      </c>
      <c r="EB35" s="582"/>
      <c r="EC35" s="582"/>
      <c r="ED35" s="582"/>
      <c r="EE35" s="582"/>
      <c r="EF35" s="582"/>
      <c r="EG35" s="582"/>
      <c r="EH35" s="582"/>
      <c r="EI35" s="582"/>
      <c r="EJ35" s="583"/>
      <c r="EP35" s="195"/>
    </row>
    <row r="36" spans="2:146" ht="10.5" customHeight="1" x14ac:dyDescent="0.15">
      <c r="B36" s="603" t="str">
        <f>完成工事高!C25</f>
        <v/>
      </c>
      <c r="C36" s="580"/>
      <c r="D36" s="590" t="s">
        <v>25</v>
      </c>
      <c r="E36" s="624"/>
      <c r="F36" s="624"/>
      <c r="G36" s="624"/>
      <c r="H36" s="624"/>
      <c r="I36" s="624"/>
      <c r="J36" s="624"/>
      <c r="K36" s="624"/>
      <c r="L36" s="624"/>
      <c r="M36" s="624"/>
      <c r="N36" s="624"/>
      <c r="O36" s="624"/>
      <c r="P36" s="624"/>
      <c r="Q36" s="624"/>
      <c r="R36" s="624"/>
      <c r="S36" s="624"/>
      <c r="T36" s="624"/>
      <c r="U36" s="625"/>
      <c r="V36" s="576" t="str">
        <f>'経営状況・自己資本額、平均利益額'!W24</f>
        <v/>
      </c>
      <c r="W36" s="574"/>
      <c r="X36" s="574"/>
      <c r="Y36" s="574"/>
      <c r="Z36" s="574"/>
      <c r="AA36" s="575"/>
      <c r="AB36" s="622" t="str">
        <f>完成工事高!L25</f>
        <v/>
      </c>
      <c r="AC36" s="609"/>
      <c r="AD36" s="609"/>
      <c r="AE36" s="609"/>
      <c r="AF36" s="609"/>
      <c r="AG36" s="609"/>
      <c r="AH36" s="609"/>
      <c r="AI36" s="609"/>
      <c r="AJ36" s="609"/>
      <c r="AK36" s="610"/>
      <c r="AL36" s="622" t="str">
        <f>完成工事高!M25</f>
        <v/>
      </c>
      <c r="AM36" s="609"/>
      <c r="AN36" s="609"/>
      <c r="AO36" s="609"/>
      <c r="AP36" s="609"/>
      <c r="AQ36" s="610"/>
      <c r="AR36" s="622" t="str">
        <f>元請完成工事高!L25</f>
        <v/>
      </c>
      <c r="AS36" s="609"/>
      <c r="AT36" s="609"/>
      <c r="AU36" s="609"/>
      <c r="AV36" s="609"/>
      <c r="AW36" s="609"/>
      <c r="AX36" s="609"/>
      <c r="AY36" s="609"/>
      <c r="AZ36" s="609"/>
      <c r="BA36" s="610"/>
      <c r="BB36" s="622" t="str">
        <f>IF(V36="","",技術者!G25)</f>
        <v/>
      </c>
      <c r="BC36" s="609"/>
      <c r="BD36" s="609"/>
      <c r="BE36" s="609"/>
      <c r="BF36" s="610"/>
      <c r="BG36" s="272" t="s">
        <v>566</v>
      </c>
      <c r="BH36" s="609" t="str">
        <f>IF(V36="","",技術者!H25)</f>
        <v/>
      </c>
      <c r="BI36" s="609"/>
      <c r="BJ36" s="609"/>
      <c r="BK36" s="273" t="s">
        <v>567</v>
      </c>
      <c r="BL36" s="622" t="str">
        <f>IF(V36="","",技術者!I25)</f>
        <v/>
      </c>
      <c r="BM36" s="609"/>
      <c r="BN36" s="609"/>
      <c r="BO36" s="609"/>
      <c r="BP36" s="610"/>
      <c r="BQ36" s="622" t="str">
        <f>IF(V36="","",技術者!J25+技術者!K25)</f>
        <v/>
      </c>
      <c r="BR36" s="609"/>
      <c r="BS36" s="609"/>
      <c r="BT36" s="609"/>
      <c r="BU36" s="610"/>
      <c r="BV36" s="622" t="str">
        <f>IF(V36="","",技術者!L25+技術者!M25)</f>
        <v/>
      </c>
      <c r="BW36" s="609"/>
      <c r="BX36" s="609"/>
      <c r="BY36" s="609"/>
      <c r="BZ36" s="610"/>
      <c r="CA36" s="622" t="str">
        <f>IF(V36="","",技術者!N25)</f>
        <v/>
      </c>
      <c r="CB36" s="609"/>
      <c r="CC36" s="609"/>
      <c r="CD36" s="609"/>
      <c r="CE36" s="610"/>
      <c r="CF36" s="573" t="str">
        <f>技術者!R25</f>
        <v/>
      </c>
      <c r="CG36" s="574"/>
      <c r="CH36" s="574"/>
      <c r="CI36" s="574"/>
      <c r="CJ36" s="574"/>
      <c r="CK36" s="575"/>
      <c r="CM36" s="190"/>
      <c r="CN36" s="571" t="s">
        <v>745</v>
      </c>
      <c r="CO36" s="571"/>
      <c r="CP36" s="571"/>
      <c r="CQ36" s="571"/>
      <c r="CR36" s="571"/>
      <c r="CS36" s="571"/>
      <c r="CT36" s="571"/>
      <c r="CU36" s="571"/>
      <c r="CV36" s="571"/>
      <c r="CW36" s="571"/>
      <c r="CX36" s="571"/>
      <c r="CY36" s="571"/>
      <c r="CZ36" s="571"/>
      <c r="DA36" s="571"/>
      <c r="DB36" s="571"/>
      <c r="DC36" s="571"/>
      <c r="DD36" s="571"/>
      <c r="DE36" s="571"/>
      <c r="DF36" s="571"/>
      <c r="DG36" s="571"/>
      <c r="DH36" s="571"/>
      <c r="DI36" s="571"/>
      <c r="DJ36" s="571"/>
      <c r="DK36" s="571"/>
      <c r="DL36" s="571"/>
      <c r="DM36" s="571"/>
      <c r="DN36" s="571"/>
      <c r="DO36" s="571"/>
      <c r="DP36" s="571"/>
      <c r="DQ36" s="571"/>
      <c r="DR36" s="571"/>
      <c r="DS36" s="571"/>
      <c r="DT36" s="571"/>
      <c r="DU36" s="571"/>
      <c r="DV36" s="571"/>
      <c r="DW36" s="571"/>
      <c r="DX36" s="571"/>
      <c r="DY36" s="571"/>
      <c r="DZ36" s="572"/>
      <c r="EA36" s="581" t="str">
        <f>社会性等!AN20</f>
        <v>ユースエール</v>
      </c>
      <c r="EB36" s="582"/>
      <c r="EC36" s="582"/>
      <c r="ED36" s="582"/>
      <c r="EE36" s="582"/>
      <c r="EF36" s="582"/>
      <c r="EG36" s="582"/>
      <c r="EH36" s="582"/>
      <c r="EI36" s="582"/>
      <c r="EJ36" s="583"/>
      <c r="EP36" s="195"/>
    </row>
    <row r="37" spans="2:146" ht="10.5" customHeight="1" x14ac:dyDescent="0.15">
      <c r="B37" s="603" t="str">
        <f>完成工事高!C26</f>
        <v/>
      </c>
      <c r="C37" s="580"/>
      <c r="D37" s="590" t="s">
        <v>149</v>
      </c>
      <c r="E37" s="624"/>
      <c r="F37" s="624"/>
      <c r="G37" s="624"/>
      <c r="H37" s="624"/>
      <c r="I37" s="624"/>
      <c r="J37" s="624"/>
      <c r="K37" s="624"/>
      <c r="L37" s="624"/>
      <c r="M37" s="624"/>
      <c r="N37" s="624"/>
      <c r="O37" s="624"/>
      <c r="P37" s="624"/>
      <c r="Q37" s="624"/>
      <c r="R37" s="624"/>
      <c r="S37" s="624"/>
      <c r="T37" s="624"/>
      <c r="U37" s="625"/>
      <c r="V37" s="576" t="str">
        <f>'経営状況・自己資本額、平均利益額'!W25</f>
        <v/>
      </c>
      <c r="W37" s="574"/>
      <c r="X37" s="574"/>
      <c r="Y37" s="574"/>
      <c r="Z37" s="574"/>
      <c r="AA37" s="575"/>
      <c r="AB37" s="622" t="str">
        <f>完成工事高!L26</f>
        <v/>
      </c>
      <c r="AC37" s="609"/>
      <c r="AD37" s="609"/>
      <c r="AE37" s="609"/>
      <c r="AF37" s="609"/>
      <c r="AG37" s="609"/>
      <c r="AH37" s="609"/>
      <c r="AI37" s="609"/>
      <c r="AJ37" s="609"/>
      <c r="AK37" s="610"/>
      <c r="AL37" s="622" t="str">
        <f>完成工事高!M26</f>
        <v/>
      </c>
      <c r="AM37" s="609"/>
      <c r="AN37" s="609"/>
      <c r="AO37" s="609"/>
      <c r="AP37" s="609"/>
      <c r="AQ37" s="610"/>
      <c r="AR37" s="622" t="str">
        <f>元請完成工事高!L26</f>
        <v/>
      </c>
      <c r="AS37" s="609"/>
      <c r="AT37" s="609"/>
      <c r="AU37" s="609"/>
      <c r="AV37" s="609"/>
      <c r="AW37" s="609"/>
      <c r="AX37" s="609"/>
      <c r="AY37" s="609"/>
      <c r="AZ37" s="609"/>
      <c r="BA37" s="610"/>
      <c r="BB37" s="622" t="str">
        <f>IF(V37="","",技術者!G26)</f>
        <v/>
      </c>
      <c r="BC37" s="609"/>
      <c r="BD37" s="609"/>
      <c r="BE37" s="609"/>
      <c r="BF37" s="610"/>
      <c r="BG37" s="272" t="s">
        <v>566</v>
      </c>
      <c r="BH37" s="609" t="str">
        <f>IF(V37="","",技術者!H26)</f>
        <v/>
      </c>
      <c r="BI37" s="609"/>
      <c r="BJ37" s="609"/>
      <c r="BK37" s="273" t="s">
        <v>567</v>
      </c>
      <c r="BL37" s="622" t="str">
        <f>IF(V37="","",技術者!I26)</f>
        <v/>
      </c>
      <c r="BM37" s="609"/>
      <c r="BN37" s="609"/>
      <c r="BO37" s="609"/>
      <c r="BP37" s="610"/>
      <c r="BQ37" s="622" t="str">
        <f>IF(V37="","",技術者!J26+技術者!K26)</f>
        <v/>
      </c>
      <c r="BR37" s="609"/>
      <c r="BS37" s="609"/>
      <c r="BT37" s="609"/>
      <c r="BU37" s="610"/>
      <c r="BV37" s="622" t="str">
        <f>IF(V37="","",技術者!L26+技術者!M26)</f>
        <v/>
      </c>
      <c r="BW37" s="609"/>
      <c r="BX37" s="609"/>
      <c r="BY37" s="609"/>
      <c r="BZ37" s="610"/>
      <c r="CA37" s="622" t="str">
        <f>IF(V37="","",技術者!N26)</f>
        <v/>
      </c>
      <c r="CB37" s="609"/>
      <c r="CC37" s="609"/>
      <c r="CD37" s="609"/>
      <c r="CE37" s="610"/>
      <c r="CF37" s="573" t="str">
        <f>技術者!R26</f>
        <v/>
      </c>
      <c r="CG37" s="574"/>
      <c r="CH37" s="574"/>
      <c r="CI37" s="574"/>
      <c r="CJ37" s="574"/>
      <c r="CK37" s="575"/>
      <c r="CM37" s="190"/>
      <c r="CN37" s="596" t="s">
        <v>746</v>
      </c>
      <c r="CO37" s="596"/>
      <c r="CP37" s="596"/>
      <c r="CQ37" s="596"/>
      <c r="CR37" s="596"/>
      <c r="CS37" s="596"/>
      <c r="CT37" s="596"/>
      <c r="CU37" s="596"/>
      <c r="CV37" s="596"/>
      <c r="CW37" s="596"/>
      <c r="CX37" s="596"/>
      <c r="CY37" s="596"/>
      <c r="CZ37" s="596"/>
      <c r="DA37" s="596"/>
      <c r="DB37" s="596"/>
      <c r="DC37" s="596"/>
      <c r="DD37" s="596"/>
      <c r="DE37" s="596"/>
      <c r="DF37" s="596"/>
      <c r="DG37" s="596"/>
      <c r="DH37" s="596"/>
      <c r="DI37" s="596"/>
      <c r="DJ37" s="596"/>
      <c r="DK37" s="596"/>
      <c r="DL37" s="596"/>
      <c r="DM37" s="596"/>
      <c r="DN37" s="596"/>
      <c r="DO37" s="596"/>
      <c r="DP37" s="596"/>
      <c r="DQ37" s="596"/>
      <c r="DR37" s="596"/>
      <c r="DS37" s="596"/>
      <c r="DT37" s="596"/>
      <c r="DU37" s="596"/>
      <c r="DV37" s="596"/>
      <c r="DW37" s="596"/>
      <c r="DX37" s="596"/>
      <c r="DY37" s="596"/>
      <c r="DZ37" s="597"/>
      <c r="EA37" s="581" t="str">
        <f>社会性等!AN21</f>
        <v>全ての建設工事</v>
      </c>
      <c r="EB37" s="582"/>
      <c r="EC37" s="582"/>
      <c r="ED37" s="582"/>
      <c r="EE37" s="582"/>
      <c r="EF37" s="582"/>
      <c r="EG37" s="582"/>
      <c r="EH37" s="582"/>
      <c r="EI37" s="582"/>
      <c r="EJ37" s="583"/>
      <c r="EP37" s="195"/>
    </row>
    <row r="38" spans="2:146" ht="10.5" customHeight="1" x14ac:dyDescent="0.15">
      <c r="B38" s="603" t="str">
        <f>完成工事高!C27</f>
        <v/>
      </c>
      <c r="C38" s="580"/>
      <c r="D38" s="590" t="s">
        <v>150</v>
      </c>
      <c r="E38" s="624"/>
      <c r="F38" s="624"/>
      <c r="G38" s="624"/>
      <c r="H38" s="624"/>
      <c r="I38" s="624"/>
      <c r="J38" s="624"/>
      <c r="K38" s="624"/>
      <c r="L38" s="624"/>
      <c r="M38" s="624"/>
      <c r="N38" s="624"/>
      <c r="O38" s="624"/>
      <c r="P38" s="624"/>
      <c r="Q38" s="624"/>
      <c r="R38" s="624"/>
      <c r="S38" s="624"/>
      <c r="T38" s="624"/>
      <c r="U38" s="625"/>
      <c r="V38" s="576" t="str">
        <f>'経営状況・自己資本額、平均利益額'!W26</f>
        <v/>
      </c>
      <c r="W38" s="574"/>
      <c r="X38" s="574"/>
      <c r="Y38" s="574"/>
      <c r="Z38" s="574"/>
      <c r="AA38" s="575"/>
      <c r="AB38" s="622" t="str">
        <f>完成工事高!L27</f>
        <v/>
      </c>
      <c r="AC38" s="609"/>
      <c r="AD38" s="609"/>
      <c r="AE38" s="609"/>
      <c r="AF38" s="609"/>
      <c r="AG38" s="609"/>
      <c r="AH38" s="609"/>
      <c r="AI38" s="609"/>
      <c r="AJ38" s="609"/>
      <c r="AK38" s="610"/>
      <c r="AL38" s="622" t="str">
        <f>完成工事高!M27</f>
        <v/>
      </c>
      <c r="AM38" s="609"/>
      <c r="AN38" s="609"/>
      <c r="AO38" s="609"/>
      <c r="AP38" s="609"/>
      <c r="AQ38" s="610"/>
      <c r="AR38" s="622" t="str">
        <f>元請完成工事高!L27</f>
        <v/>
      </c>
      <c r="AS38" s="609"/>
      <c r="AT38" s="609"/>
      <c r="AU38" s="609"/>
      <c r="AV38" s="609"/>
      <c r="AW38" s="609"/>
      <c r="AX38" s="609"/>
      <c r="AY38" s="609"/>
      <c r="AZ38" s="609"/>
      <c r="BA38" s="610"/>
      <c r="BB38" s="622" t="str">
        <f>IF(V38="","",技術者!G27)</f>
        <v/>
      </c>
      <c r="BC38" s="609"/>
      <c r="BD38" s="609"/>
      <c r="BE38" s="609"/>
      <c r="BF38" s="610"/>
      <c r="BG38" s="272" t="s">
        <v>566</v>
      </c>
      <c r="BH38" s="609" t="str">
        <f>IF(V38="","",技術者!H27)</f>
        <v/>
      </c>
      <c r="BI38" s="609"/>
      <c r="BJ38" s="609"/>
      <c r="BK38" s="273" t="s">
        <v>567</v>
      </c>
      <c r="BL38" s="622" t="str">
        <f>IF(V38="","",技術者!I27)</f>
        <v/>
      </c>
      <c r="BM38" s="609"/>
      <c r="BN38" s="609"/>
      <c r="BO38" s="609"/>
      <c r="BP38" s="610"/>
      <c r="BQ38" s="622" t="str">
        <f>IF(V38="","",技術者!J27+技術者!K27)</f>
        <v/>
      </c>
      <c r="BR38" s="609"/>
      <c r="BS38" s="609"/>
      <c r="BT38" s="609"/>
      <c r="BU38" s="610"/>
      <c r="BV38" s="622" t="str">
        <f>IF(V38="","",技術者!L27+技術者!M27)</f>
        <v/>
      </c>
      <c r="BW38" s="609"/>
      <c r="BX38" s="609"/>
      <c r="BY38" s="609"/>
      <c r="BZ38" s="610"/>
      <c r="CA38" s="622" t="str">
        <f>IF(V38="","",技術者!N27)</f>
        <v/>
      </c>
      <c r="CB38" s="609"/>
      <c r="CC38" s="609"/>
      <c r="CD38" s="609"/>
      <c r="CE38" s="610"/>
      <c r="CF38" s="573" t="str">
        <f>技術者!R27</f>
        <v/>
      </c>
      <c r="CG38" s="574"/>
      <c r="CH38" s="574"/>
      <c r="CI38" s="574"/>
      <c r="CJ38" s="574"/>
      <c r="CK38" s="575"/>
      <c r="CM38" s="590" t="s">
        <v>747</v>
      </c>
      <c r="CN38" s="588"/>
      <c r="CO38" s="588"/>
      <c r="CP38" s="588"/>
      <c r="CQ38" s="588"/>
      <c r="CR38" s="588"/>
      <c r="CS38" s="588"/>
      <c r="CT38" s="588"/>
      <c r="CU38" s="588"/>
      <c r="CV38" s="588"/>
      <c r="CW38" s="588"/>
      <c r="CX38" s="588"/>
      <c r="CY38" s="588"/>
      <c r="CZ38" s="588"/>
      <c r="DA38" s="588"/>
      <c r="DB38" s="588"/>
      <c r="DC38" s="588"/>
      <c r="DD38" s="588"/>
      <c r="DE38" s="588"/>
      <c r="DF38" s="588"/>
      <c r="DG38" s="588"/>
      <c r="DH38" s="588"/>
      <c r="DI38" s="588"/>
      <c r="DJ38" s="588"/>
      <c r="DK38" s="588"/>
      <c r="DL38" s="588"/>
      <c r="DM38" s="588"/>
      <c r="DN38" s="588"/>
      <c r="DO38" s="588"/>
      <c r="DP38" s="588"/>
      <c r="DQ38" s="588"/>
      <c r="DR38" s="588"/>
      <c r="DS38" s="588"/>
      <c r="DT38" s="588"/>
      <c r="DU38" s="588"/>
      <c r="DV38" s="588"/>
      <c r="DW38" s="588"/>
      <c r="DX38" s="588"/>
      <c r="DY38" s="588"/>
      <c r="DZ38" s="588"/>
      <c r="EA38" s="588"/>
      <c r="EB38" s="588"/>
      <c r="EC38" s="588"/>
      <c r="ED38" s="588"/>
      <c r="EE38" s="588"/>
      <c r="EF38" s="588"/>
      <c r="EG38" s="591"/>
      <c r="EH38" s="196"/>
      <c r="EI38" s="196"/>
      <c r="EJ38" s="196"/>
      <c r="EK38" s="584">
        <f>社会性等!AH22</f>
        <v>74</v>
      </c>
      <c r="EL38" s="585"/>
      <c r="EM38" s="585"/>
      <c r="EN38" s="585"/>
      <c r="EO38" s="585"/>
      <c r="EP38" s="586"/>
    </row>
    <row r="39" spans="2:146" ht="10.5" customHeight="1" x14ac:dyDescent="0.15">
      <c r="B39" s="603" t="str">
        <f>完成工事高!C28</f>
        <v/>
      </c>
      <c r="C39" s="580"/>
      <c r="D39" s="590" t="s">
        <v>77</v>
      </c>
      <c r="E39" s="624"/>
      <c r="F39" s="624"/>
      <c r="G39" s="624"/>
      <c r="H39" s="624"/>
      <c r="I39" s="624"/>
      <c r="J39" s="624"/>
      <c r="K39" s="624"/>
      <c r="L39" s="624"/>
      <c r="M39" s="624"/>
      <c r="N39" s="624"/>
      <c r="O39" s="624"/>
      <c r="P39" s="624"/>
      <c r="Q39" s="624"/>
      <c r="R39" s="624"/>
      <c r="S39" s="624"/>
      <c r="T39" s="624"/>
      <c r="U39" s="625"/>
      <c r="V39" s="576" t="str">
        <f>'経営状況・自己資本額、平均利益額'!W27</f>
        <v/>
      </c>
      <c r="W39" s="574"/>
      <c r="X39" s="574"/>
      <c r="Y39" s="574"/>
      <c r="Z39" s="574"/>
      <c r="AA39" s="575"/>
      <c r="AB39" s="622" t="str">
        <f>完成工事高!L28</f>
        <v/>
      </c>
      <c r="AC39" s="609"/>
      <c r="AD39" s="609"/>
      <c r="AE39" s="609"/>
      <c r="AF39" s="609"/>
      <c r="AG39" s="609"/>
      <c r="AH39" s="609"/>
      <c r="AI39" s="609"/>
      <c r="AJ39" s="609"/>
      <c r="AK39" s="610"/>
      <c r="AL39" s="622" t="str">
        <f>完成工事高!M28</f>
        <v/>
      </c>
      <c r="AM39" s="609"/>
      <c r="AN39" s="609"/>
      <c r="AO39" s="609"/>
      <c r="AP39" s="609"/>
      <c r="AQ39" s="610"/>
      <c r="AR39" s="622" t="str">
        <f>元請完成工事高!L28</f>
        <v/>
      </c>
      <c r="AS39" s="609"/>
      <c r="AT39" s="609"/>
      <c r="AU39" s="609"/>
      <c r="AV39" s="609"/>
      <c r="AW39" s="609"/>
      <c r="AX39" s="609"/>
      <c r="AY39" s="609"/>
      <c r="AZ39" s="609"/>
      <c r="BA39" s="610"/>
      <c r="BB39" s="622" t="str">
        <f>IF(V39="","",技術者!G28)</f>
        <v/>
      </c>
      <c r="BC39" s="609"/>
      <c r="BD39" s="609"/>
      <c r="BE39" s="609"/>
      <c r="BF39" s="610"/>
      <c r="BG39" s="272" t="s">
        <v>566</v>
      </c>
      <c r="BH39" s="609" t="str">
        <f>IF(V39="","",技術者!H28)</f>
        <v/>
      </c>
      <c r="BI39" s="609"/>
      <c r="BJ39" s="609"/>
      <c r="BK39" s="273" t="s">
        <v>567</v>
      </c>
      <c r="BL39" s="622" t="str">
        <f>IF(V39="","",技術者!I28)</f>
        <v/>
      </c>
      <c r="BM39" s="609"/>
      <c r="BN39" s="609"/>
      <c r="BO39" s="609"/>
      <c r="BP39" s="610"/>
      <c r="BQ39" s="622" t="str">
        <f>IF(V39="","",技術者!J28+技術者!K28)</f>
        <v/>
      </c>
      <c r="BR39" s="609"/>
      <c r="BS39" s="609"/>
      <c r="BT39" s="609"/>
      <c r="BU39" s="610"/>
      <c r="BV39" s="622" t="str">
        <f>IF(V39="","",技術者!L28+技術者!M28)</f>
        <v/>
      </c>
      <c r="BW39" s="609"/>
      <c r="BX39" s="609"/>
      <c r="BY39" s="609"/>
      <c r="BZ39" s="610"/>
      <c r="CA39" s="622" t="str">
        <f>IF(V39="","",技術者!N28)</f>
        <v/>
      </c>
      <c r="CB39" s="609"/>
      <c r="CC39" s="609"/>
      <c r="CD39" s="609"/>
      <c r="CE39" s="610"/>
      <c r="CF39" s="573" t="str">
        <f>技術者!R28</f>
        <v/>
      </c>
      <c r="CG39" s="574"/>
      <c r="CH39" s="574"/>
      <c r="CI39" s="574"/>
      <c r="CJ39" s="574"/>
      <c r="CK39" s="575"/>
      <c r="CM39" s="190"/>
      <c r="CN39" s="571" t="s">
        <v>74</v>
      </c>
      <c r="CO39" s="571"/>
      <c r="CP39" s="571"/>
      <c r="CQ39" s="571"/>
      <c r="CR39" s="571"/>
      <c r="CS39" s="571"/>
      <c r="CT39" s="571"/>
      <c r="CU39" s="571"/>
      <c r="CV39" s="571"/>
      <c r="CW39" s="571"/>
      <c r="CX39" s="571"/>
      <c r="CY39" s="571"/>
      <c r="CZ39" s="571"/>
      <c r="DA39" s="571"/>
      <c r="DB39" s="571"/>
      <c r="DC39" s="571"/>
      <c r="DD39" s="571"/>
      <c r="DE39" s="571"/>
      <c r="DF39" s="571"/>
      <c r="DG39" s="571"/>
      <c r="DH39" s="571"/>
      <c r="DI39" s="571"/>
      <c r="DJ39" s="571"/>
      <c r="DK39" s="571"/>
      <c r="DL39" s="571"/>
      <c r="DM39" s="571"/>
      <c r="DN39" s="571"/>
      <c r="DO39" s="571"/>
      <c r="DP39" s="571"/>
      <c r="DQ39" s="571"/>
      <c r="DR39" s="571"/>
      <c r="DS39" s="571"/>
      <c r="DT39" s="571"/>
      <c r="DU39" s="571"/>
      <c r="DV39" s="571"/>
      <c r="DW39" s="571"/>
      <c r="DX39" s="571"/>
      <c r="DY39" s="571"/>
      <c r="DZ39" s="572"/>
      <c r="EA39" s="576">
        <f>社会性等!Z24</f>
        <v>15</v>
      </c>
      <c r="EB39" s="574"/>
      <c r="EC39" s="574"/>
      <c r="ED39" s="574"/>
      <c r="EE39" s="574"/>
      <c r="EF39" s="574"/>
      <c r="EG39" s="574"/>
      <c r="EH39" s="574"/>
      <c r="EI39" s="592" t="s">
        <v>75</v>
      </c>
      <c r="EJ39" s="593"/>
      <c r="EK39" s="191"/>
      <c r="EL39" s="192"/>
      <c r="EM39" s="192"/>
      <c r="EN39" s="192"/>
      <c r="EO39" s="192"/>
      <c r="EP39" s="193"/>
    </row>
    <row r="40" spans="2:146" ht="10.5" customHeight="1" x14ac:dyDescent="0.15">
      <c r="B40" s="603" t="str">
        <f>完成工事高!C29</f>
        <v/>
      </c>
      <c r="C40" s="580"/>
      <c r="D40" s="590" t="s">
        <v>151</v>
      </c>
      <c r="E40" s="624"/>
      <c r="F40" s="624"/>
      <c r="G40" s="624"/>
      <c r="H40" s="624"/>
      <c r="I40" s="624"/>
      <c r="J40" s="624"/>
      <c r="K40" s="624"/>
      <c r="L40" s="624"/>
      <c r="M40" s="624"/>
      <c r="N40" s="624"/>
      <c r="O40" s="624"/>
      <c r="P40" s="624"/>
      <c r="Q40" s="624"/>
      <c r="R40" s="624"/>
      <c r="S40" s="624"/>
      <c r="T40" s="624"/>
      <c r="U40" s="625"/>
      <c r="V40" s="576" t="str">
        <f>'経営状況・自己資本額、平均利益額'!W28</f>
        <v/>
      </c>
      <c r="W40" s="574"/>
      <c r="X40" s="574"/>
      <c r="Y40" s="574"/>
      <c r="Z40" s="574"/>
      <c r="AA40" s="575"/>
      <c r="AB40" s="622" t="str">
        <f>完成工事高!L29</f>
        <v/>
      </c>
      <c r="AC40" s="609"/>
      <c r="AD40" s="609"/>
      <c r="AE40" s="609"/>
      <c r="AF40" s="609"/>
      <c r="AG40" s="609"/>
      <c r="AH40" s="609"/>
      <c r="AI40" s="609"/>
      <c r="AJ40" s="609"/>
      <c r="AK40" s="610"/>
      <c r="AL40" s="622" t="str">
        <f>完成工事高!M29</f>
        <v/>
      </c>
      <c r="AM40" s="609"/>
      <c r="AN40" s="609"/>
      <c r="AO40" s="609"/>
      <c r="AP40" s="609"/>
      <c r="AQ40" s="610"/>
      <c r="AR40" s="622" t="str">
        <f>元請完成工事高!L29</f>
        <v/>
      </c>
      <c r="AS40" s="609"/>
      <c r="AT40" s="609"/>
      <c r="AU40" s="609"/>
      <c r="AV40" s="609"/>
      <c r="AW40" s="609"/>
      <c r="AX40" s="609"/>
      <c r="AY40" s="609"/>
      <c r="AZ40" s="609"/>
      <c r="BA40" s="610"/>
      <c r="BB40" s="622" t="str">
        <f>IF(V40="","",技術者!G29)</f>
        <v/>
      </c>
      <c r="BC40" s="609"/>
      <c r="BD40" s="609"/>
      <c r="BE40" s="609"/>
      <c r="BF40" s="610"/>
      <c r="BG40" s="272" t="s">
        <v>566</v>
      </c>
      <c r="BH40" s="609" t="str">
        <f>IF(V40="","",技術者!H29)</f>
        <v/>
      </c>
      <c r="BI40" s="609"/>
      <c r="BJ40" s="609"/>
      <c r="BK40" s="273" t="s">
        <v>567</v>
      </c>
      <c r="BL40" s="622" t="str">
        <f>IF(V40="","",技術者!I29)</f>
        <v/>
      </c>
      <c r="BM40" s="609"/>
      <c r="BN40" s="609"/>
      <c r="BO40" s="609"/>
      <c r="BP40" s="610"/>
      <c r="BQ40" s="622" t="str">
        <f>IF(V40="","",技術者!J29+技術者!K29)</f>
        <v/>
      </c>
      <c r="BR40" s="609"/>
      <c r="BS40" s="609"/>
      <c r="BT40" s="609"/>
      <c r="BU40" s="610"/>
      <c r="BV40" s="622" t="str">
        <f>IF(V40="","",技術者!L29+技術者!M29)</f>
        <v/>
      </c>
      <c r="BW40" s="609"/>
      <c r="BX40" s="609"/>
      <c r="BY40" s="609"/>
      <c r="BZ40" s="610"/>
      <c r="CA40" s="622" t="str">
        <f>IF(V40="","",技術者!N29)</f>
        <v/>
      </c>
      <c r="CB40" s="609"/>
      <c r="CC40" s="609"/>
      <c r="CD40" s="609"/>
      <c r="CE40" s="610"/>
      <c r="CF40" s="573" t="str">
        <f>技術者!R29</f>
        <v/>
      </c>
      <c r="CG40" s="574"/>
      <c r="CH40" s="574"/>
      <c r="CI40" s="574"/>
      <c r="CJ40" s="574"/>
      <c r="CK40" s="575"/>
      <c r="CM40" s="191"/>
      <c r="CN40" s="571" t="s">
        <v>436</v>
      </c>
      <c r="CO40" s="571"/>
      <c r="CP40" s="571"/>
      <c r="CQ40" s="571"/>
      <c r="CR40" s="571"/>
      <c r="CS40" s="571"/>
      <c r="CT40" s="571"/>
      <c r="CU40" s="571"/>
      <c r="CV40" s="571"/>
      <c r="CW40" s="571"/>
      <c r="CX40" s="571"/>
      <c r="CY40" s="571"/>
      <c r="CZ40" s="571"/>
      <c r="DA40" s="571"/>
      <c r="DB40" s="571"/>
      <c r="DC40" s="571"/>
      <c r="DD40" s="571"/>
      <c r="DE40" s="571"/>
      <c r="DF40" s="571"/>
      <c r="DG40" s="571"/>
      <c r="DH40" s="571"/>
      <c r="DI40" s="571"/>
      <c r="DJ40" s="571"/>
      <c r="DK40" s="571"/>
      <c r="DL40" s="571"/>
      <c r="DM40" s="571"/>
      <c r="DN40" s="571"/>
      <c r="DO40" s="571"/>
      <c r="DP40" s="571"/>
      <c r="DQ40" s="571"/>
      <c r="DR40" s="571"/>
      <c r="DS40" s="571"/>
      <c r="DT40" s="571"/>
      <c r="DU40" s="571"/>
      <c r="DV40" s="571"/>
      <c r="DW40" s="571"/>
      <c r="DX40" s="571"/>
      <c r="DY40" s="571"/>
      <c r="DZ40" s="572"/>
      <c r="EA40" s="576" t="str">
        <f>社会性等!AN25</f>
        <v>無</v>
      </c>
      <c r="EB40" s="577"/>
      <c r="EC40" s="577"/>
      <c r="ED40" s="577"/>
      <c r="EE40" s="577"/>
      <c r="EF40" s="577"/>
      <c r="EG40" s="577"/>
      <c r="EH40" s="577"/>
      <c r="EI40" s="577"/>
      <c r="EJ40" s="578"/>
      <c r="EP40" s="195"/>
    </row>
    <row r="41" spans="2:146" ht="10.5" customHeight="1" x14ac:dyDescent="0.15">
      <c r="B41" s="603" t="str">
        <f>完成工事高!C30</f>
        <v/>
      </c>
      <c r="C41" s="580"/>
      <c r="D41" s="590" t="s">
        <v>79</v>
      </c>
      <c r="E41" s="624"/>
      <c r="F41" s="624"/>
      <c r="G41" s="624"/>
      <c r="H41" s="624"/>
      <c r="I41" s="624"/>
      <c r="J41" s="624"/>
      <c r="K41" s="624"/>
      <c r="L41" s="624"/>
      <c r="M41" s="624"/>
      <c r="N41" s="624"/>
      <c r="O41" s="624"/>
      <c r="P41" s="624"/>
      <c r="Q41" s="624"/>
      <c r="R41" s="624"/>
      <c r="S41" s="624"/>
      <c r="T41" s="624"/>
      <c r="U41" s="625"/>
      <c r="V41" s="576" t="str">
        <f>'経営状況・自己資本額、平均利益額'!W29</f>
        <v/>
      </c>
      <c r="W41" s="574"/>
      <c r="X41" s="574"/>
      <c r="Y41" s="574"/>
      <c r="Z41" s="574"/>
      <c r="AA41" s="575"/>
      <c r="AB41" s="622" t="str">
        <f>完成工事高!L30</f>
        <v/>
      </c>
      <c r="AC41" s="609"/>
      <c r="AD41" s="609"/>
      <c r="AE41" s="609"/>
      <c r="AF41" s="609"/>
      <c r="AG41" s="609"/>
      <c r="AH41" s="609"/>
      <c r="AI41" s="609"/>
      <c r="AJ41" s="609"/>
      <c r="AK41" s="610"/>
      <c r="AL41" s="622" t="str">
        <f>完成工事高!M30</f>
        <v/>
      </c>
      <c r="AM41" s="609"/>
      <c r="AN41" s="609"/>
      <c r="AO41" s="609"/>
      <c r="AP41" s="609"/>
      <c r="AQ41" s="610"/>
      <c r="AR41" s="622" t="str">
        <f>元請完成工事高!L30</f>
        <v/>
      </c>
      <c r="AS41" s="609"/>
      <c r="AT41" s="609"/>
      <c r="AU41" s="609"/>
      <c r="AV41" s="609"/>
      <c r="AW41" s="609"/>
      <c r="AX41" s="609"/>
      <c r="AY41" s="609"/>
      <c r="AZ41" s="609"/>
      <c r="BA41" s="610"/>
      <c r="BB41" s="622" t="str">
        <f>IF(V41="","",技術者!G30)</f>
        <v/>
      </c>
      <c r="BC41" s="609"/>
      <c r="BD41" s="609"/>
      <c r="BE41" s="609"/>
      <c r="BF41" s="610"/>
      <c r="BG41" s="272" t="s">
        <v>566</v>
      </c>
      <c r="BH41" s="609" t="str">
        <f>IF(V41="","",技術者!H30)</f>
        <v/>
      </c>
      <c r="BI41" s="609"/>
      <c r="BJ41" s="609"/>
      <c r="BK41" s="273" t="s">
        <v>567</v>
      </c>
      <c r="BL41" s="622" t="str">
        <f>IF(V41="","",技術者!I30)</f>
        <v/>
      </c>
      <c r="BM41" s="609"/>
      <c r="BN41" s="609"/>
      <c r="BO41" s="609"/>
      <c r="BP41" s="610"/>
      <c r="BQ41" s="622" t="str">
        <f>IF(V41="","",技術者!J30+技術者!K30)</f>
        <v/>
      </c>
      <c r="BR41" s="609"/>
      <c r="BS41" s="609"/>
      <c r="BT41" s="609"/>
      <c r="BU41" s="610"/>
      <c r="BV41" s="622" t="str">
        <f>IF(V41="","",技術者!L30+技術者!M30)</f>
        <v/>
      </c>
      <c r="BW41" s="609"/>
      <c r="BX41" s="609"/>
      <c r="BY41" s="609"/>
      <c r="BZ41" s="610"/>
      <c r="CA41" s="622" t="str">
        <f>IF(V41="","",技術者!N30)</f>
        <v/>
      </c>
      <c r="CB41" s="609"/>
      <c r="CC41" s="609"/>
      <c r="CD41" s="609"/>
      <c r="CE41" s="610"/>
      <c r="CF41" s="573" t="str">
        <f>技術者!R30</f>
        <v/>
      </c>
      <c r="CG41" s="574"/>
      <c r="CH41" s="574"/>
      <c r="CI41" s="574"/>
      <c r="CJ41" s="574"/>
      <c r="CK41" s="575"/>
      <c r="CM41" s="590" t="s">
        <v>752</v>
      </c>
      <c r="CN41" s="588"/>
      <c r="CO41" s="588"/>
      <c r="CP41" s="588"/>
      <c r="CQ41" s="588"/>
      <c r="CR41" s="588"/>
      <c r="CS41" s="588"/>
      <c r="CT41" s="588"/>
      <c r="CU41" s="588"/>
      <c r="CV41" s="588"/>
      <c r="CW41" s="588"/>
      <c r="CX41" s="588"/>
      <c r="CY41" s="588"/>
      <c r="CZ41" s="588"/>
      <c r="DA41" s="588"/>
      <c r="DB41" s="588"/>
      <c r="DC41" s="588"/>
      <c r="DD41" s="588"/>
      <c r="DE41" s="588"/>
      <c r="DF41" s="588"/>
      <c r="DG41" s="588"/>
      <c r="DH41" s="588"/>
      <c r="DI41" s="588"/>
      <c r="DJ41" s="588"/>
      <c r="DK41" s="588"/>
      <c r="DL41" s="588"/>
      <c r="DM41" s="588"/>
      <c r="DN41" s="588"/>
      <c r="DO41" s="588"/>
      <c r="DP41" s="588"/>
      <c r="DQ41" s="588"/>
      <c r="DR41" s="588"/>
      <c r="DS41" s="588"/>
      <c r="DT41" s="588"/>
      <c r="DU41" s="588"/>
      <c r="DV41" s="588"/>
      <c r="DW41" s="588"/>
      <c r="DX41" s="588"/>
      <c r="DY41" s="588"/>
      <c r="DZ41" s="588"/>
      <c r="EA41" s="588"/>
      <c r="EB41" s="588"/>
      <c r="EC41" s="588"/>
      <c r="ED41" s="588"/>
      <c r="EE41" s="588"/>
      <c r="EF41" s="588"/>
      <c r="EG41" s="591"/>
      <c r="EH41" s="196"/>
      <c r="EI41" s="196"/>
      <c r="EJ41" s="196"/>
      <c r="EK41" s="587">
        <f>社会性等!AH26</f>
        <v>20</v>
      </c>
      <c r="EL41" s="585"/>
      <c r="EM41" s="585"/>
      <c r="EN41" s="585"/>
      <c r="EO41" s="585"/>
      <c r="EP41" s="586"/>
    </row>
    <row r="42" spans="2:146" ht="10.5" customHeight="1" x14ac:dyDescent="0.15">
      <c r="B42" s="603" t="str">
        <f>完成工事高!C31</f>
        <v/>
      </c>
      <c r="C42" s="580"/>
      <c r="D42" s="590" t="s">
        <v>80</v>
      </c>
      <c r="E42" s="624"/>
      <c r="F42" s="624"/>
      <c r="G42" s="624"/>
      <c r="H42" s="624"/>
      <c r="I42" s="624"/>
      <c r="J42" s="624"/>
      <c r="K42" s="624"/>
      <c r="L42" s="624"/>
      <c r="M42" s="624"/>
      <c r="N42" s="624"/>
      <c r="O42" s="624"/>
      <c r="P42" s="624"/>
      <c r="Q42" s="624"/>
      <c r="R42" s="624"/>
      <c r="S42" s="624"/>
      <c r="T42" s="624"/>
      <c r="U42" s="625"/>
      <c r="V42" s="576" t="str">
        <f>'経営状況・自己資本額、平均利益額'!W30</f>
        <v/>
      </c>
      <c r="W42" s="574"/>
      <c r="X42" s="574"/>
      <c r="Y42" s="574"/>
      <c r="Z42" s="574"/>
      <c r="AA42" s="575"/>
      <c r="AB42" s="622" t="str">
        <f>完成工事高!L31</f>
        <v/>
      </c>
      <c r="AC42" s="609"/>
      <c r="AD42" s="609"/>
      <c r="AE42" s="609"/>
      <c r="AF42" s="609"/>
      <c r="AG42" s="609"/>
      <c r="AH42" s="609"/>
      <c r="AI42" s="609"/>
      <c r="AJ42" s="609"/>
      <c r="AK42" s="610"/>
      <c r="AL42" s="622" t="str">
        <f>完成工事高!M31</f>
        <v/>
      </c>
      <c r="AM42" s="609"/>
      <c r="AN42" s="609"/>
      <c r="AO42" s="609"/>
      <c r="AP42" s="609"/>
      <c r="AQ42" s="610"/>
      <c r="AR42" s="622" t="str">
        <f>元請完成工事高!L31</f>
        <v/>
      </c>
      <c r="AS42" s="609"/>
      <c r="AT42" s="609"/>
      <c r="AU42" s="609"/>
      <c r="AV42" s="609"/>
      <c r="AW42" s="609"/>
      <c r="AX42" s="609"/>
      <c r="AY42" s="609"/>
      <c r="AZ42" s="609"/>
      <c r="BA42" s="610"/>
      <c r="BB42" s="622" t="str">
        <f>IF(V42="","",技術者!G31)</f>
        <v/>
      </c>
      <c r="BC42" s="609"/>
      <c r="BD42" s="609"/>
      <c r="BE42" s="609"/>
      <c r="BF42" s="610"/>
      <c r="BG42" s="272" t="s">
        <v>566</v>
      </c>
      <c r="BH42" s="609" t="str">
        <f>IF(V42="","",技術者!H31)</f>
        <v/>
      </c>
      <c r="BI42" s="609"/>
      <c r="BJ42" s="609"/>
      <c r="BK42" s="273" t="s">
        <v>567</v>
      </c>
      <c r="BL42" s="622" t="str">
        <f>IF(V42="","",技術者!I31)</f>
        <v/>
      </c>
      <c r="BM42" s="609"/>
      <c r="BN42" s="609"/>
      <c r="BO42" s="609"/>
      <c r="BP42" s="610"/>
      <c r="BQ42" s="622" t="str">
        <f>IF(V42="","",技術者!J31+技術者!K31)</f>
        <v/>
      </c>
      <c r="BR42" s="609"/>
      <c r="BS42" s="609"/>
      <c r="BT42" s="609"/>
      <c r="BU42" s="610"/>
      <c r="BV42" s="622" t="str">
        <f>IF(V42="","",技術者!L31+技術者!M31)</f>
        <v/>
      </c>
      <c r="BW42" s="609"/>
      <c r="BX42" s="609"/>
      <c r="BY42" s="609"/>
      <c r="BZ42" s="610"/>
      <c r="CA42" s="622" t="str">
        <f>IF(V42="","",技術者!N31)</f>
        <v/>
      </c>
      <c r="CB42" s="609"/>
      <c r="CC42" s="609"/>
      <c r="CD42" s="609"/>
      <c r="CE42" s="610"/>
      <c r="CF42" s="573" t="str">
        <f>技術者!R31</f>
        <v/>
      </c>
      <c r="CG42" s="574"/>
      <c r="CH42" s="574"/>
      <c r="CI42" s="574"/>
      <c r="CJ42" s="574"/>
      <c r="CK42" s="575"/>
      <c r="CM42" s="190"/>
      <c r="CN42" s="571" t="s">
        <v>292</v>
      </c>
      <c r="CO42" s="588"/>
      <c r="CP42" s="588"/>
      <c r="CQ42" s="588"/>
      <c r="CR42" s="588"/>
      <c r="CS42" s="588"/>
      <c r="CT42" s="588"/>
      <c r="CU42" s="588"/>
      <c r="CV42" s="588"/>
      <c r="CW42" s="588"/>
      <c r="CX42" s="588"/>
      <c r="CY42" s="588"/>
      <c r="CZ42" s="588"/>
      <c r="DA42" s="588"/>
      <c r="DB42" s="588"/>
      <c r="DC42" s="588"/>
      <c r="DD42" s="588"/>
      <c r="DE42" s="588"/>
      <c r="DF42" s="588"/>
      <c r="DG42" s="588"/>
      <c r="DH42" s="588"/>
      <c r="DI42" s="588"/>
      <c r="DJ42" s="588"/>
      <c r="DK42" s="588"/>
      <c r="DL42" s="588"/>
      <c r="DM42" s="588"/>
      <c r="DN42" s="588"/>
      <c r="DO42" s="588"/>
      <c r="DP42" s="588"/>
      <c r="DQ42" s="588"/>
      <c r="DR42" s="588"/>
      <c r="DS42" s="588"/>
      <c r="DT42" s="588"/>
      <c r="DU42" s="588"/>
      <c r="DV42" s="588"/>
      <c r="DW42" s="588"/>
      <c r="DX42" s="588"/>
      <c r="DY42" s="588"/>
      <c r="DZ42" s="589"/>
      <c r="EA42" s="576" t="str">
        <f>社会性等!AN28</f>
        <v>有</v>
      </c>
      <c r="EB42" s="577"/>
      <c r="EC42" s="577"/>
      <c r="ED42" s="577"/>
      <c r="EE42" s="577"/>
      <c r="EF42" s="577"/>
      <c r="EG42" s="577"/>
      <c r="EH42" s="577"/>
      <c r="EI42" s="577"/>
      <c r="EJ42" s="578"/>
      <c r="EK42" s="191"/>
      <c r="EL42" s="192"/>
      <c r="EM42" s="192"/>
      <c r="EN42" s="192"/>
      <c r="EO42" s="192"/>
      <c r="EP42" s="193"/>
    </row>
    <row r="43" spans="2:146" ht="10.5" customHeight="1" x14ac:dyDescent="0.15">
      <c r="B43" s="603" t="str">
        <f>完成工事高!C32</f>
        <v/>
      </c>
      <c r="C43" s="580"/>
      <c r="D43" s="590" t="s">
        <v>152</v>
      </c>
      <c r="E43" s="624"/>
      <c r="F43" s="624"/>
      <c r="G43" s="624"/>
      <c r="H43" s="624"/>
      <c r="I43" s="624"/>
      <c r="J43" s="624"/>
      <c r="K43" s="624"/>
      <c r="L43" s="624"/>
      <c r="M43" s="624"/>
      <c r="N43" s="624"/>
      <c r="O43" s="624"/>
      <c r="P43" s="624"/>
      <c r="Q43" s="624"/>
      <c r="R43" s="624"/>
      <c r="S43" s="624"/>
      <c r="T43" s="624"/>
      <c r="U43" s="625"/>
      <c r="V43" s="576" t="str">
        <f>'経営状況・自己資本額、平均利益額'!W31</f>
        <v/>
      </c>
      <c r="W43" s="574"/>
      <c r="X43" s="574"/>
      <c r="Y43" s="574"/>
      <c r="Z43" s="574"/>
      <c r="AA43" s="575"/>
      <c r="AB43" s="622" t="str">
        <f>完成工事高!L32</f>
        <v/>
      </c>
      <c r="AC43" s="609"/>
      <c r="AD43" s="609"/>
      <c r="AE43" s="609"/>
      <c r="AF43" s="609"/>
      <c r="AG43" s="609"/>
      <c r="AH43" s="609"/>
      <c r="AI43" s="609"/>
      <c r="AJ43" s="609"/>
      <c r="AK43" s="610"/>
      <c r="AL43" s="622" t="str">
        <f>完成工事高!M32</f>
        <v/>
      </c>
      <c r="AM43" s="609"/>
      <c r="AN43" s="609"/>
      <c r="AO43" s="609"/>
      <c r="AP43" s="609"/>
      <c r="AQ43" s="610"/>
      <c r="AR43" s="622" t="str">
        <f>元請完成工事高!L32</f>
        <v/>
      </c>
      <c r="AS43" s="609"/>
      <c r="AT43" s="609"/>
      <c r="AU43" s="609"/>
      <c r="AV43" s="609"/>
      <c r="AW43" s="609"/>
      <c r="AX43" s="609"/>
      <c r="AY43" s="609"/>
      <c r="AZ43" s="609"/>
      <c r="BA43" s="610"/>
      <c r="BB43" s="622" t="str">
        <f>IF(V43="","",技術者!G32)</f>
        <v/>
      </c>
      <c r="BC43" s="609"/>
      <c r="BD43" s="609"/>
      <c r="BE43" s="609"/>
      <c r="BF43" s="610"/>
      <c r="BG43" s="272" t="s">
        <v>566</v>
      </c>
      <c r="BH43" s="609" t="str">
        <f>IF(V43="","",技術者!H32)</f>
        <v/>
      </c>
      <c r="BI43" s="609"/>
      <c r="BJ43" s="609"/>
      <c r="BK43" s="273" t="s">
        <v>567</v>
      </c>
      <c r="BL43" s="622" t="str">
        <f>IF(V43="","",技術者!I32)</f>
        <v/>
      </c>
      <c r="BM43" s="609"/>
      <c r="BN43" s="609"/>
      <c r="BO43" s="609"/>
      <c r="BP43" s="610"/>
      <c r="BQ43" s="622" t="str">
        <f>IF(V43="","",技術者!J32+技術者!K32)</f>
        <v/>
      </c>
      <c r="BR43" s="609"/>
      <c r="BS43" s="609"/>
      <c r="BT43" s="609"/>
      <c r="BU43" s="610"/>
      <c r="BV43" s="622" t="str">
        <f>IF(V43="","",技術者!L32+技術者!M32)</f>
        <v/>
      </c>
      <c r="BW43" s="609"/>
      <c r="BX43" s="609"/>
      <c r="BY43" s="609"/>
      <c r="BZ43" s="610"/>
      <c r="CA43" s="622" t="str">
        <f>IF(V43="","",技術者!N32)</f>
        <v/>
      </c>
      <c r="CB43" s="609"/>
      <c r="CC43" s="609"/>
      <c r="CD43" s="609"/>
      <c r="CE43" s="610"/>
      <c r="CF43" s="573" t="str">
        <f>技術者!R32</f>
        <v/>
      </c>
      <c r="CG43" s="574"/>
      <c r="CH43" s="574"/>
      <c r="CI43" s="574"/>
      <c r="CJ43" s="574"/>
      <c r="CK43" s="575"/>
      <c r="CM43" s="590" t="s">
        <v>244</v>
      </c>
      <c r="CN43" s="588"/>
      <c r="CO43" s="588"/>
      <c r="CP43" s="588"/>
      <c r="CQ43" s="588"/>
      <c r="CR43" s="588"/>
      <c r="CS43" s="588"/>
      <c r="CT43" s="588"/>
      <c r="CU43" s="588"/>
      <c r="CV43" s="588"/>
      <c r="CW43" s="588"/>
      <c r="CX43" s="588"/>
      <c r="CY43" s="588"/>
      <c r="CZ43" s="588"/>
      <c r="DA43" s="588"/>
      <c r="DB43" s="588"/>
      <c r="DC43" s="588"/>
      <c r="DD43" s="588"/>
      <c r="DE43" s="588"/>
      <c r="DF43" s="588"/>
      <c r="DG43" s="588"/>
      <c r="DH43" s="588"/>
      <c r="DI43" s="588"/>
      <c r="DJ43" s="588"/>
      <c r="DK43" s="588"/>
      <c r="DL43" s="588"/>
      <c r="DM43" s="588"/>
      <c r="DN43" s="588"/>
      <c r="DO43" s="588"/>
      <c r="DP43" s="588"/>
      <c r="DQ43" s="588"/>
      <c r="DR43" s="588"/>
      <c r="DS43" s="588"/>
      <c r="DT43" s="588"/>
      <c r="DU43" s="588"/>
      <c r="DV43" s="588"/>
      <c r="DW43" s="588"/>
      <c r="DX43" s="588"/>
      <c r="DY43" s="588"/>
      <c r="DZ43" s="588"/>
      <c r="EA43" s="588"/>
      <c r="EB43" s="588"/>
      <c r="EC43" s="588"/>
      <c r="ED43" s="588"/>
      <c r="EE43" s="588"/>
      <c r="EF43" s="588"/>
      <c r="EG43" s="591"/>
      <c r="EH43" s="196"/>
      <c r="EI43" s="196"/>
      <c r="EJ43" s="196"/>
      <c r="EK43" s="584">
        <f>社会性等!AH29</f>
        <v>20</v>
      </c>
      <c r="EL43" s="585"/>
      <c r="EM43" s="585"/>
      <c r="EN43" s="585"/>
      <c r="EO43" s="585"/>
      <c r="EP43" s="586"/>
    </row>
    <row r="44" spans="2:146" ht="10.5" customHeight="1" x14ac:dyDescent="0.15">
      <c r="B44" s="603" t="str">
        <f>完成工事高!C33</f>
        <v/>
      </c>
      <c r="C44" s="580"/>
      <c r="D44" s="590" t="s">
        <v>153</v>
      </c>
      <c r="E44" s="624"/>
      <c r="F44" s="624"/>
      <c r="G44" s="624"/>
      <c r="H44" s="624"/>
      <c r="I44" s="624"/>
      <c r="J44" s="624"/>
      <c r="K44" s="624"/>
      <c r="L44" s="624"/>
      <c r="M44" s="624"/>
      <c r="N44" s="624"/>
      <c r="O44" s="624"/>
      <c r="P44" s="624"/>
      <c r="Q44" s="624"/>
      <c r="R44" s="624"/>
      <c r="S44" s="624"/>
      <c r="T44" s="624"/>
      <c r="U44" s="625"/>
      <c r="V44" s="576" t="str">
        <f>'経営状況・自己資本額、平均利益額'!W32</f>
        <v/>
      </c>
      <c r="W44" s="574"/>
      <c r="X44" s="574"/>
      <c r="Y44" s="574"/>
      <c r="Z44" s="574"/>
      <c r="AA44" s="575"/>
      <c r="AB44" s="622" t="str">
        <f>完成工事高!L33</f>
        <v/>
      </c>
      <c r="AC44" s="609"/>
      <c r="AD44" s="609"/>
      <c r="AE44" s="609"/>
      <c r="AF44" s="609"/>
      <c r="AG44" s="609"/>
      <c r="AH44" s="609"/>
      <c r="AI44" s="609"/>
      <c r="AJ44" s="609"/>
      <c r="AK44" s="610"/>
      <c r="AL44" s="622" t="str">
        <f>完成工事高!M33</f>
        <v/>
      </c>
      <c r="AM44" s="609"/>
      <c r="AN44" s="609"/>
      <c r="AO44" s="609"/>
      <c r="AP44" s="609"/>
      <c r="AQ44" s="610"/>
      <c r="AR44" s="622" t="str">
        <f>元請完成工事高!L33</f>
        <v/>
      </c>
      <c r="AS44" s="609"/>
      <c r="AT44" s="609"/>
      <c r="AU44" s="609"/>
      <c r="AV44" s="609"/>
      <c r="AW44" s="609"/>
      <c r="AX44" s="609"/>
      <c r="AY44" s="609"/>
      <c r="AZ44" s="609"/>
      <c r="BA44" s="610"/>
      <c r="BB44" s="622" t="str">
        <f>IF(V44="","",技術者!G33)</f>
        <v/>
      </c>
      <c r="BC44" s="609"/>
      <c r="BD44" s="609"/>
      <c r="BE44" s="609"/>
      <c r="BF44" s="610"/>
      <c r="BG44" s="272" t="s">
        <v>566</v>
      </c>
      <c r="BH44" s="609" t="str">
        <f>IF(V44="","",技術者!H33)</f>
        <v/>
      </c>
      <c r="BI44" s="609"/>
      <c r="BJ44" s="609"/>
      <c r="BK44" s="273" t="s">
        <v>567</v>
      </c>
      <c r="BL44" s="622" t="str">
        <f>IF(V44="","",技術者!I33)</f>
        <v/>
      </c>
      <c r="BM44" s="609"/>
      <c r="BN44" s="609"/>
      <c r="BO44" s="609"/>
      <c r="BP44" s="610"/>
      <c r="BQ44" s="622" t="str">
        <f>IF(V44="","",技術者!J33+技術者!K33)</f>
        <v/>
      </c>
      <c r="BR44" s="609"/>
      <c r="BS44" s="609"/>
      <c r="BT44" s="609"/>
      <c r="BU44" s="610"/>
      <c r="BV44" s="622" t="str">
        <f>IF(V44="","",技術者!L33+技術者!M33)</f>
        <v/>
      </c>
      <c r="BW44" s="609"/>
      <c r="BX44" s="609"/>
      <c r="BY44" s="609"/>
      <c r="BZ44" s="610"/>
      <c r="CA44" s="622" t="str">
        <f>IF(V44="","",技術者!N33)</f>
        <v/>
      </c>
      <c r="CB44" s="609"/>
      <c r="CC44" s="609"/>
      <c r="CD44" s="609"/>
      <c r="CE44" s="610"/>
      <c r="CF44" s="573" t="str">
        <f>技術者!R33</f>
        <v/>
      </c>
      <c r="CG44" s="574"/>
      <c r="CH44" s="574"/>
      <c r="CI44" s="574"/>
      <c r="CJ44" s="574"/>
      <c r="CK44" s="575"/>
      <c r="CM44" s="190"/>
      <c r="CN44" s="571" t="s">
        <v>258</v>
      </c>
      <c r="CO44" s="588"/>
      <c r="CP44" s="588"/>
      <c r="CQ44" s="588"/>
      <c r="CR44" s="588"/>
      <c r="CS44" s="588"/>
      <c r="CT44" s="588"/>
      <c r="CU44" s="588"/>
      <c r="CV44" s="588"/>
      <c r="CW44" s="588"/>
      <c r="CX44" s="588"/>
      <c r="CY44" s="588"/>
      <c r="CZ44" s="588"/>
      <c r="DA44" s="588"/>
      <c r="DB44" s="588"/>
      <c r="DC44" s="588"/>
      <c r="DD44" s="588"/>
      <c r="DE44" s="588"/>
      <c r="DF44" s="588"/>
      <c r="DG44" s="588"/>
      <c r="DH44" s="588"/>
      <c r="DI44" s="588"/>
      <c r="DJ44" s="588"/>
      <c r="DK44" s="588"/>
      <c r="DL44" s="588"/>
      <c r="DM44" s="588"/>
      <c r="DN44" s="588"/>
      <c r="DO44" s="588"/>
      <c r="DP44" s="588"/>
      <c r="DQ44" s="588"/>
      <c r="DR44" s="588"/>
      <c r="DS44" s="588"/>
      <c r="DT44" s="588"/>
      <c r="DU44" s="588"/>
      <c r="DV44" s="588"/>
      <c r="DW44" s="588"/>
      <c r="DX44" s="588"/>
      <c r="DY44" s="588"/>
      <c r="DZ44" s="589"/>
      <c r="EA44" s="576" t="str">
        <f>社会性等!AN31</f>
        <v>無</v>
      </c>
      <c r="EB44" s="577"/>
      <c r="EC44" s="577"/>
      <c r="ED44" s="577"/>
      <c r="EE44" s="577"/>
      <c r="EF44" s="577"/>
      <c r="EG44" s="577"/>
      <c r="EH44" s="577"/>
      <c r="EI44" s="577"/>
      <c r="EJ44" s="578"/>
      <c r="EK44" s="197"/>
      <c r="EL44" s="198"/>
      <c r="EM44" s="198"/>
      <c r="EN44" s="198"/>
      <c r="EO44" s="198"/>
      <c r="EP44" s="199"/>
    </row>
    <row r="45" spans="2:146" ht="10.5" customHeight="1" x14ac:dyDescent="0.15">
      <c r="B45" s="603" t="str">
        <f>完成工事高!C34</f>
        <v/>
      </c>
      <c r="C45" s="580"/>
      <c r="D45" s="590" t="s">
        <v>154</v>
      </c>
      <c r="E45" s="624"/>
      <c r="F45" s="624"/>
      <c r="G45" s="624"/>
      <c r="H45" s="624"/>
      <c r="I45" s="624"/>
      <c r="J45" s="624"/>
      <c r="K45" s="624"/>
      <c r="L45" s="624"/>
      <c r="M45" s="624"/>
      <c r="N45" s="624"/>
      <c r="O45" s="624"/>
      <c r="P45" s="624"/>
      <c r="Q45" s="624"/>
      <c r="R45" s="624"/>
      <c r="S45" s="624"/>
      <c r="T45" s="624"/>
      <c r="U45" s="625"/>
      <c r="V45" s="576" t="str">
        <f>'経営状況・自己資本額、平均利益額'!W33</f>
        <v/>
      </c>
      <c r="W45" s="574"/>
      <c r="X45" s="574"/>
      <c r="Y45" s="574"/>
      <c r="Z45" s="574"/>
      <c r="AA45" s="575"/>
      <c r="AB45" s="622" t="str">
        <f>完成工事高!L34</f>
        <v/>
      </c>
      <c r="AC45" s="609"/>
      <c r="AD45" s="609"/>
      <c r="AE45" s="609"/>
      <c r="AF45" s="609"/>
      <c r="AG45" s="609"/>
      <c r="AH45" s="609"/>
      <c r="AI45" s="609"/>
      <c r="AJ45" s="609"/>
      <c r="AK45" s="610"/>
      <c r="AL45" s="622" t="str">
        <f>完成工事高!M34</f>
        <v/>
      </c>
      <c r="AM45" s="609"/>
      <c r="AN45" s="609"/>
      <c r="AO45" s="609"/>
      <c r="AP45" s="609"/>
      <c r="AQ45" s="610"/>
      <c r="AR45" s="622" t="str">
        <f>元請完成工事高!L34</f>
        <v/>
      </c>
      <c r="AS45" s="609"/>
      <c r="AT45" s="609"/>
      <c r="AU45" s="609"/>
      <c r="AV45" s="609"/>
      <c r="AW45" s="609"/>
      <c r="AX45" s="609"/>
      <c r="AY45" s="609"/>
      <c r="AZ45" s="609"/>
      <c r="BA45" s="610"/>
      <c r="BB45" s="622" t="str">
        <f>IF(V45="","",技術者!G34)</f>
        <v/>
      </c>
      <c r="BC45" s="609"/>
      <c r="BD45" s="609"/>
      <c r="BE45" s="609"/>
      <c r="BF45" s="610"/>
      <c r="BG45" s="272" t="s">
        <v>566</v>
      </c>
      <c r="BH45" s="609" t="str">
        <f>IF(V45="","",技術者!H34)</f>
        <v/>
      </c>
      <c r="BI45" s="609"/>
      <c r="BJ45" s="609"/>
      <c r="BK45" s="273" t="s">
        <v>567</v>
      </c>
      <c r="BL45" s="622" t="str">
        <f>IF(V45="","",技術者!I34)</f>
        <v/>
      </c>
      <c r="BM45" s="609"/>
      <c r="BN45" s="609"/>
      <c r="BO45" s="609"/>
      <c r="BP45" s="610"/>
      <c r="BQ45" s="622" t="str">
        <f>IF(V45="","",技術者!J34+技術者!K34)</f>
        <v/>
      </c>
      <c r="BR45" s="609"/>
      <c r="BS45" s="609"/>
      <c r="BT45" s="609"/>
      <c r="BU45" s="610"/>
      <c r="BV45" s="622" t="str">
        <f>IF(V45="","",技術者!L34+技術者!M34)</f>
        <v/>
      </c>
      <c r="BW45" s="609"/>
      <c r="BX45" s="609"/>
      <c r="BY45" s="609"/>
      <c r="BZ45" s="610"/>
      <c r="CA45" s="622" t="str">
        <f>IF(V45="","",技術者!N34)</f>
        <v/>
      </c>
      <c r="CB45" s="609"/>
      <c r="CC45" s="609"/>
      <c r="CD45" s="609"/>
      <c r="CE45" s="610"/>
      <c r="CF45" s="573" t="str">
        <f>技術者!R34</f>
        <v/>
      </c>
      <c r="CG45" s="574"/>
      <c r="CH45" s="574"/>
      <c r="CI45" s="574"/>
      <c r="CJ45" s="574"/>
      <c r="CK45" s="575"/>
      <c r="CM45" s="190"/>
      <c r="CN45" s="571" t="s">
        <v>259</v>
      </c>
      <c r="CO45" s="588"/>
      <c r="CP45" s="588"/>
      <c r="CQ45" s="588"/>
      <c r="CR45" s="588"/>
      <c r="CS45" s="588"/>
      <c r="CT45" s="588"/>
      <c r="CU45" s="588"/>
      <c r="CV45" s="588"/>
      <c r="CW45" s="588"/>
      <c r="CX45" s="588"/>
      <c r="CY45" s="588"/>
      <c r="CZ45" s="588"/>
      <c r="DA45" s="588"/>
      <c r="DB45" s="588"/>
      <c r="DC45" s="588"/>
      <c r="DD45" s="588"/>
      <c r="DE45" s="588"/>
      <c r="DF45" s="588"/>
      <c r="DG45" s="588"/>
      <c r="DH45" s="588"/>
      <c r="DI45" s="588"/>
      <c r="DJ45" s="588"/>
      <c r="DK45" s="588"/>
      <c r="DL45" s="588"/>
      <c r="DM45" s="588"/>
      <c r="DN45" s="588"/>
      <c r="DO45" s="588"/>
      <c r="DP45" s="588"/>
      <c r="DQ45" s="588"/>
      <c r="DR45" s="588"/>
      <c r="DS45" s="588"/>
      <c r="DT45" s="588"/>
      <c r="DU45" s="588"/>
      <c r="DV45" s="588"/>
      <c r="DW45" s="588"/>
      <c r="DX45" s="588"/>
      <c r="DY45" s="588"/>
      <c r="DZ45" s="589"/>
      <c r="EA45" s="576" t="str">
        <f>社会性等!AN32</f>
        <v>無</v>
      </c>
      <c r="EB45" s="577"/>
      <c r="EC45" s="577"/>
      <c r="ED45" s="577"/>
      <c r="EE45" s="577"/>
      <c r="EF45" s="577"/>
      <c r="EG45" s="577"/>
      <c r="EH45" s="577"/>
      <c r="EI45" s="577"/>
      <c r="EJ45" s="578"/>
      <c r="EK45" s="200"/>
      <c r="EL45" s="198"/>
      <c r="EM45" s="198"/>
      <c r="EN45" s="198"/>
      <c r="EO45" s="198"/>
      <c r="EP45" s="199"/>
    </row>
    <row r="46" spans="2:146" ht="10.5" customHeight="1" x14ac:dyDescent="0.15">
      <c r="B46" s="603" t="str">
        <f>完成工事高!C35</f>
        <v/>
      </c>
      <c r="C46" s="580"/>
      <c r="D46" s="590" t="s">
        <v>7</v>
      </c>
      <c r="E46" s="624"/>
      <c r="F46" s="624"/>
      <c r="G46" s="624"/>
      <c r="H46" s="624"/>
      <c r="I46" s="624"/>
      <c r="J46" s="624"/>
      <c r="K46" s="624"/>
      <c r="L46" s="624"/>
      <c r="M46" s="624"/>
      <c r="N46" s="624"/>
      <c r="O46" s="624"/>
      <c r="P46" s="624"/>
      <c r="Q46" s="624"/>
      <c r="R46" s="624"/>
      <c r="S46" s="624"/>
      <c r="T46" s="624"/>
      <c r="U46" s="625"/>
      <c r="V46" s="576" t="str">
        <f>'経営状況・自己資本額、平均利益額'!W34</f>
        <v/>
      </c>
      <c r="W46" s="574"/>
      <c r="X46" s="574"/>
      <c r="Y46" s="574"/>
      <c r="Z46" s="574"/>
      <c r="AA46" s="575"/>
      <c r="AB46" s="622" t="str">
        <f>完成工事高!L35</f>
        <v/>
      </c>
      <c r="AC46" s="609"/>
      <c r="AD46" s="609"/>
      <c r="AE46" s="609"/>
      <c r="AF46" s="609"/>
      <c r="AG46" s="609"/>
      <c r="AH46" s="609"/>
      <c r="AI46" s="609"/>
      <c r="AJ46" s="609"/>
      <c r="AK46" s="610"/>
      <c r="AL46" s="622" t="str">
        <f>完成工事高!M35</f>
        <v/>
      </c>
      <c r="AM46" s="609"/>
      <c r="AN46" s="609"/>
      <c r="AO46" s="609"/>
      <c r="AP46" s="609"/>
      <c r="AQ46" s="610"/>
      <c r="AR46" s="622" t="str">
        <f>元請完成工事高!L35</f>
        <v/>
      </c>
      <c r="AS46" s="609"/>
      <c r="AT46" s="609"/>
      <c r="AU46" s="609"/>
      <c r="AV46" s="609"/>
      <c r="AW46" s="609"/>
      <c r="AX46" s="609"/>
      <c r="AY46" s="609"/>
      <c r="AZ46" s="609"/>
      <c r="BA46" s="610"/>
      <c r="BB46" s="622" t="str">
        <f>IF(V46="","",技術者!G35)</f>
        <v/>
      </c>
      <c r="BC46" s="609"/>
      <c r="BD46" s="609"/>
      <c r="BE46" s="609"/>
      <c r="BF46" s="610"/>
      <c r="BG46" s="272" t="s">
        <v>566</v>
      </c>
      <c r="BH46" s="609" t="str">
        <f>IF(V46="","",技術者!H35)</f>
        <v/>
      </c>
      <c r="BI46" s="609"/>
      <c r="BJ46" s="609"/>
      <c r="BK46" s="273" t="s">
        <v>567</v>
      </c>
      <c r="BL46" s="622" t="str">
        <f>IF(V46="","",技術者!I35)</f>
        <v/>
      </c>
      <c r="BM46" s="609"/>
      <c r="BN46" s="609"/>
      <c r="BO46" s="609"/>
      <c r="BP46" s="610"/>
      <c r="BQ46" s="622" t="str">
        <f>IF(V46="","",技術者!J35+技術者!K35)</f>
        <v/>
      </c>
      <c r="BR46" s="609"/>
      <c r="BS46" s="609"/>
      <c r="BT46" s="609"/>
      <c r="BU46" s="610"/>
      <c r="BV46" s="622" t="str">
        <f>IF(V46="","",技術者!L35+技術者!M35)</f>
        <v/>
      </c>
      <c r="BW46" s="609"/>
      <c r="BX46" s="609"/>
      <c r="BY46" s="609"/>
      <c r="BZ46" s="610"/>
      <c r="CA46" s="622" t="str">
        <f>IF(V46="","",技術者!N35)</f>
        <v/>
      </c>
      <c r="CB46" s="609"/>
      <c r="CC46" s="609"/>
      <c r="CD46" s="609"/>
      <c r="CE46" s="610"/>
      <c r="CF46" s="573" t="str">
        <f>技術者!R35</f>
        <v/>
      </c>
      <c r="CG46" s="574"/>
      <c r="CH46" s="574"/>
      <c r="CI46" s="574"/>
      <c r="CJ46" s="574"/>
      <c r="CK46" s="575"/>
      <c r="CM46" s="590" t="s">
        <v>245</v>
      </c>
      <c r="CN46" s="588"/>
      <c r="CO46" s="588"/>
      <c r="CP46" s="588"/>
      <c r="CQ46" s="588"/>
      <c r="CR46" s="588"/>
      <c r="CS46" s="588"/>
      <c r="CT46" s="588"/>
      <c r="CU46" s="588"/>
      <c r="CV46" s="588"/>
      <c r="CW46" s="588"/>
      <c r="CX46" s="588"/>
      <c r="CY46" s="588"/>
      <c r="CZ46" s="588"/>
      <c r="DA46" s="588"/>
      <c r="DB46" s="588"/>
      <c r="DC46" s="588"/>
      <c r="DD46" s="588"/>
      <c r="DE46" s="588"/>
      <c r="DF46" s="588"/>
      <c r="DG46" s="588"/>
      <c r="DH46" s="588"/>
      <c r="DI46" s="588"/>
      <c r="DJ46" s="588"/>
      <c r="DK46" s="588"/>
      <c r="DL46" s="588"/>
      <c r="DM46" s="588"/>
      <c r="DN46" s="588"/>
      <c r="DO46" s="588"/>
      <c r="DP46" s="588"/>
      <c r="DQ46" s="588"/>
      <c r="DR46" s="588"/>
      <c r="DS46" s="588"/>
      <c r="DT46" s="588"/>
      <c r="DU46" s="588"/>
      <c r="DV46" s="588"/>
      <c r="DW46" s="588"/>
      <c r="DX46" s="588"/>
      <c r="DY46" s="588"/>
      <c r="DZ46" s="588"/>
      <c r="EA46" s="588"/>
      <c r="EB46" s="588"/>
      <c r="EC46" s="588"/>
      <c r="ED46" s="588"/>
      <c r="EE46" s="588"/>
      <c r="EF46" s="588"/>
      <c r="EG46" s="591"/>
      <c r="EH46" s="201"/>
      <c r="EI46" s="201"/>
      <c r="EJ46" s="201"/>
      <c r="EK46" s="584">
        <f>社会性等!AH33</f>
        <v>0</v>
      </c>
      <c r="EL46" s="585"/>
      <c r="EM46" s="585"/>
      <c r="EN46" s="585"/>
      <c r="EO46" s="585"/>
      <c r="EP46" s="586"/>
    </row>
    <row r="47" spans="2:146" ht="10.5" customHeight="1" x14ac:dyDescent="0.15">
      <c r="B47" s="603" t="str">
        <f>完成工事高!C36</f>
        <v/>
      </c>
      <c r="C47" s="580"/>
      <c r="D47" s="590" t="s">
        <v>9</v>
      </c>
      <c r="E47" s="624"/>
      <c r="F47" s="624"/>
      <c r="G47" s="624"/>
      <c r="H47" s="624"/>
      <c r="I47" s="624"/>
      <c r="J47" s="624"/>
      <c r="K47" s="624"/>
      <c r="L47" s="624"/>
      <c r="M47" s="624"/>
      <c r="N47" s="624"/>
      <c r="O47" s="624"/>
      <c r="P47" s="624"/>
      <c r="Q47" s="624"/>
      <c r="R47" s="624"/>
      <c r="S47" s="624"/>
      <c r="T47" s="624"/>
      <c r="U47" s="625"/>
      <c r="V47" s="576" t="str">
        <f>'経営状況・自己資本額、平均利益額'!W35</f>
        <v/>
      </c>
      <c r="W47" s="574"/>
      <c r="X47" s="574"/>
      <c r="Y47" s="574"/>
      <c r="Z47" s="574"/>
      <c r="AA47" s="575"/>
      <c r="AB47" s="622" t="str">
        <f>完成工事高!L36</f>
        <v/>
      </c>
      <c r="AC47" s="609"/>
      <c r="AD47" s="609"/>
      <c r="AE47" s="609"/>
      <c r="AF47" s="609"/>
      <c r="AG47" s="609"/>
      <c r="AH47" s="609"/>
      <c r="AI47" s="609"/>
      <c r="AJ47" s="609"/>
      <c r="AK47" s="610"/>
      <c r="AL47" s="622" t="str">
        <f>完成工事高!M36</f>
        <v/>
      </c>
      <c r="AM47" s="609"/>
      <c r="AN47" s="609"/>
      <c r="AO47" s="609"/>
      <c r="AP47" s="609"/>
      <c r="AQ47" s="610"/>
      <c r="AR47" s="622" t="str">
        <f>元請完成工事高!L36</f>
        <v/>
      </c>
      <c r="AS47" s="609"/>
      <c r="AT47" s="609"/>
      <c r="AU47" s="609"/>
      <c r="AV47" s="609"/>
      <c r="AW47" s="609"/>
      <c r="AX47" s="609"/>
      <c r="AY47" s="609"/>
      <c r="AZ47" s="609"/>
      <c r="BA47" s="610"/>
      <c r="BB47" s="622" t="str">
        <f>IF(V47="","",技術者!G36)</f>
        <v/>
      </c>
      <c r="BC47" s="609"/>
      <c r="BD47" s="609"/>
      <c r="BE47" s="609"/>
      <c r="BF47" s="610"/>
      <c r="BG47" s="272" t="s">
        <v>566</v>
      </c>
      <c r="BH47" s="609" t="str">
        <f>IF(V47="","",技術者!H36)</f>
        <v/>
      </c>
      <c r="BI47" s="609"/>
      <c r="BJ47" s="609"/>
      <c r="BK47" s="273" t="s">
        <v>567</v>
      </c>
      <c r="BL47" s="622" t="str">
        <f>IF(V47="","",技術者!I36)</f>
        <v/>
      </c>
      <c r="BM47" s="609"/>
      <c r="BN47" s="609"/>
      <c r="BO47" s="609"/>
      <c r="BP47" s="610"/>
      <c r="BQ47" s="622" t="str">
        <f>IF(V47="","",技術者!J36+技術者!K36)</f>
        <v/>
      </c>
      <c r="BR47" s="609"/>
      <c r="BS47" s="609"/>
      <c r="BT47" s="609"/>
      <c r="BU47" s="610"/>
      <c r="BV47" s="622" t="str">
        <f>IF(V47="","",技術者!L36+技術者!M36)</f>
        <v/>
      </c>
      <c r="BW47" s="609"/>
      <c r="BX47" s="609"/>
      <c r="BY47" s="609"/>
      <c r="BZ47" s="610"/>
      <c r="CA47" s="622" t="str">
        <f>IF(V47="","",技術者!N36)</f>
        <v/>
      </c>
      <c r="CB47" s="609"/>
      <c r="CC47" s="609"/>
      <c r="CD47" s="609"/>
      <c r="CE47" s="610"/>
      <c r="CF47" s="573" t="str">
        <f>技術者!R36</f>
        <v/>
      </c>
      <c r="CG47" s="574"/>
      <c r="CH47" s="574"/>
      <c r="CI47" s="574"/>
      <c r="CJ47" s="574"/>
      <c r="CK47" s="575"/>
      <c r="CM47" s="190"/>
      <c r="CN47" s="571" t="s">
        <v>246</v>
      </c>
      <c r="CO47" s="588"/>
      <c r="CP47" s="588"/>
      <c r="CQ47" s="588"/>
      <c r="CR47" s="588"/>
      <c r="CS47" s="588"/>
      <c r="CT47" s="588"/>
      <c r="CU47" s="588"/>
      <c r="CV47" s="588"/>
      <c r="CW47" s="588"/>
      <c r="CX47" s="588"/>
      <c r="CY47" s="588"/>
      <c r="CZ47" s="588"/>
      <c r="DA47" s="588"/>
      <c r="DB47" s="588"/>
      <c r="DC47" s="588"/>
      <c r="DD47" s="588"/>
      <c r="DE47" s="588"/>
      <c r="DF47" s="588"/>
      <c r="DG47" s="588"/>
      <c r="DH47" s="588"/>
      <c r="DI47" s="588"/>
      <c r="DJ47" s="588"/>
      <c r="DK47" s="588"/>
      <c r="DL47" s="588"/>
      <c r="DM47" s="588"/>
      <c r="DN47" s="588"/>
      <c r="DO47" s="588"/>
      <c r="DP47" s="588"/>
      <c r="DQ47" s="588"/>
      <c r="DR47" s="588"/>
      <c r="DS47" s="588"/>
      <c r="DT47" s="588"/>
      <c r="DU47" s="588"/>
      <c r="DV47" s="588"/>
      <c r="DW47" s="588"/>
      <c r="DX47" s="588"/>
      <c r="DY47" s="588"/>
      <c r="DZ47" s="589"/>
      <c r="EA47" s="581" t="str">
        <f>社会性等!AN35</f>
        <v>無</v>
      </c>
      <c r="EB47" s="582"/>
      <c r="EC47" s="582"/>
      <c r="ED47" s="582"/>
      <c r="EE47" s="582"/>
      <c r="EF47" s="582"/>
      <c r="EG47" s="582"/>
      <c r="EH47" s="582"/>
      <c r="EI47" s="582"/>
      <c r="EJ47" s="583"/>
      <c r="EK47" s="194"/>
      <c r="EP47" s="195"/>
    </row>
    <row r="48" spans="2:146" ht="10.5" customHeight="1" x14ac:dyDescent="0.15">
      <c r="B48" s="603" t="str">
        <f>完成工事高!C37</f>
        <v/>
      </c>
      <c r="C48" s="580"/>
      <c r="D48" s="590" t="s">
        <v>12</v>
      </c>
      <c r="E48" s="624"/>
      <c r="F48" s="624"/>
      <c r="G48" s="624"/>
      <c r="H48" s="624"/>
      <c r="I48" s="624"/>
      <c r="J48" s="624"/>
      <c r="K48" s="624"/>
      <c r="L48" s="624"/>
      <c r="M48" s="624"/>
      <c r="N48" s="624"/>
      <c r="O48" s="624"/>
      <c r="P48" s="624"/>
      <c r="Q48" s="624"/>
      <c r="R48" s="624"/>
      <c r="S48" s="624"/>
      <c r="T48" s="624"/>
      <c r="U48" s="625"/>
      <c r="V48" s="576" t="str">
        <f>'経営状況・自己資本額、平均利益額'!W36</f>
        <v/>
      </c>
      <c r="W48" s="574"/>
      <c r="X48" s="574"/>
      <c r="Y48" s="574"/>
      <c r="Z48" s="574"/>
      <c r="AA48" s="575"/>
      <c r="AB48" s="622" t="str">
        <f>完成工事高!L37</f>
        <v/>
      </c>
      <c r="AC48" s="609"/>
      <c r="AD48" s="609"/>
      <c r="AE48" s="609"/>
      <c r="AF48" s="609"/>
      <c r="AG48" s="609"/>
      <c r="AH48" s="609"/>
      <c r="AI48" s="609"/>
      <c r="AJ48" s="609"/>
      <c r="AK48" s="610"/>
      <c r="AL48" s="622" t="str">
        <f>完成工事高!M37</f>
        <v/>
      </c>
      <c r="AM48" s="609"/>
      <c r="AN48" s="609"/>
      <c r="AO48" s="609"/>
      <c r="AP48" s="609"/>
      <c r="AQ48" s="610"/>
      <c r="AR48" s="622" t="str">
        <f>元請完成工事高!L37</f>
        <v/>
      </c>
      <c r="AS48" s="609"/>
      <c r="AT48" s="609"/>
      <c r="AU48" s="609"/>
      <c r="AV48" s="609"/>
      <c r="AW48" s="609"/>
      <c r="AX48" s="609"/>
      <c r="AY48" s="609"/>
      <c r="AZ48" s="609"/>
      <c r="BA48" s="610"/>
      <c r="BB48" s="622" t="str">
        <f>IF(V48="","",技術者!G37)</f>
        <v/>
      </c>
      <c r="BC48" s="609"/>
      <c r="BD48" s="609"/>
      <c r="BE48" s="609"/>
      <c r="BF48" s="610"/>
      <c r="BG48" s="272" t="s">
        <v>566</v>
      </c>
      <c r="BH48" s="609" t="str">
        <f>IF(V48="","",技術者!H37)</f>
        <v/>
      </c>
      <c r="BI48" s="609"/>
      <c r="BJ48" s="609"/>
      <c r="BK48" s="273" t="s">
        <v>567</v>
      </c>
      <c r="BL48" s="622" t="str">
        <f>IF(V48="","",技術者!I37)</f>
        <v/>
      </c>
      <c r="BM48" s="609"/>
      <c r="BN48" s="609"/>
      <c r="BO48" s="609"/>
      <c r="BP48" s="610"/>
      <c r="BQ48" s="622" t="str">
        <f>IF(V48="","",技術者!J37+技術者!K37)</f>
        <v/>
      </c>
      <c r="BR48" s="609"/>
      <c r="BS48" s="609"/>
      <c r="BT48" s="609"/>
      <c r="BU48" s="610"/>
      <c r="BV48" s="622" t="str">
        <f>IF(V48="","",技術者!L37+技術者!M37)</f>
        <v/>
      </c>
      <c r="BW48" s="609"/>
      <c r="BX48" s="609"/>
      <c r="BY48" s="609"/>
      <c r="BZ48" s="610"/>
      <c r="CA48" s="622" t="str">
        <f>IF(V48="","",技術者!N37)</f>
        <v/>
      </c>
      <c r="CB48" s="609"/>
      <c r="CC48" s="609"/>
      <c r="CD48" s="609"/>
      <c r="CE48" s="610"/>
      <c r="CF48" s="573" t="str">
        <f>技術者!R37</f>
        <v/>
      </c>
      <c r="CG48" s="574"/>
      <c r="CH48" s="574"/>
      <c r="CI48" s="574"/>
      <c r="CJ48" s="574"/>
      <c r="CK48" s="575"/>
      <c r="CM48" s="190"/>
      <c r="CN48" s="571" t="s">
        <v>247</v>
      </c>
      <c r="CO48" s="588"/>
      <c r="CP48" s="588"/>
      <c r="CQ48" s="588"/>
      <c r="CR48" s="588"/>
      <c r="CS48" s="588"/>
      <c r="CT48" s="588"/>
      <c r="CU48" s="588"/>
      <c r="CV48" s="588"/>
      <c r="CW48" s="588"/>
      <c r="CX48" s="588"/>
      <c r="CY48" s="588"/>
      <c r="CZ48" s="588"/>
      <c r="DA48" s="588"/>
      <c r="DB48" s="588"/>
      <c r="DC48" s="588"/>
      <c r="DD48" s="588"/>
      <c r="DE48" s="588"/>
      <c r="DF48" s="588"/>
      <c r="DG48" s="588"/>
      <c r="DH48" s="588"/>
      <c r="DI48" s="588"/>
      <c r="DJ48" s="588"/>
      <c r="DK48" s="588"/>
      <c r="DL48" s="588"/>
      <c r="DM48" s="588"/>
      <c r="DN48" s="588"/>
      <c r="DO48" s="588"/>
      <c r="DP48" s="588"/>
      <c r="DQ48" s="588"/>
      <c r="DR48" s="588"/>
      <c r="DS48" s="588"/>
      <c r="DT48" s="588"/>
      <c r="DU48" s="588"/>
      <c r="DV48" s="588"/>
      <c r="DW48" s="588"/>
      <c r="DX48" s="588"/>
      <c r="DY48" s="588"/>
      <c r="DZ48" s="589"/>
      <c r="EA48" s="576">
        <f>社会性等!Z36</f>
        <v>0</v>
      </c>
      <c r="EB48" s="577"/>
      <c r="EC48" s="577"/>
      <c r="ED48" s="577"/>
      <c r="EE48" s="577"/>
      <c r="EF48" s="577"/>
      <c r="EG48" s="577"/>
      <c r="EH48" s="577"/>
      <c r="EI48" s="577"/>
      <c r="EJ48" s="578"/>
      <c r="EP48" s="195"/>
    </row>
    <row r="49" spans="2:146" ht="10.5" customHeight="1" x14ac:dyDescent="0.15">
      <c r="B49" s="603" t="str">
        <f>完成工事高!C38</f>
        <v/>
      </c>
      <c r="C49" s="580"/>
      <c r="D49" s="590" t="s">
        <v>533</v>
      </c>
      <c r="E49" s="624"/>
      <c r="F49" s="624"/>
      <c r="G49" s="624"/>
      <c r="H49" s="624"/>
      <c r="I49" s="624"/>
      <c r="J49" s="624"/>
      <c r="K49" s="624"/>
      <c r="L49" s="624"/>
      <c r="M49" s="624"/>
      <c r="N49" s="624"/>
      <c r="O49" s="624"/>
      <c r="P49" s="624"/>
      <c r="Q49" s="624"/>
      <c r="R49" s="624"/>
      <c r="S49" s="624"/>
      <c r="T49" s="624"/>
      <c r="U49" s="625"/>
      <c r="V49" s="573" t="str">
        <f>'経営状況・自己資本額、平均利益額'!W37</f>
        <v/>
      </c>
      <c r="W49" s="574"/>
      <c r="X49" s="574"/>
      <c r="Y49" s="574"/>
      <c r="Z49" s="574"/>
      <c r="AA49" s="575"/>
      <c r="AB49" s="622" t="str">
        <f>完成工事高!L38</f>
        <v/>
      </c>
      <c r="AC49" s="609"/>
      <c r="AD49" s="609"/>
      <c r="AE49" s="609"/>
      <c r="AF49" s="609"/>
      <c r="AG49" s="609"/>
      <c r="AH49" s="609"/>
      <c r="AI49" s="609"/>
      <c r="AJ49" s="609"/>
      <c r="AK49" s="610"/>
      <c r="AL49" s="622" t="str">
        <f>完成工事高!M38</f>
        <v/>
      </c>
      <c r="AM49" s="609"/>
      <c r="AN49" s="609"/>
      <c r="AO49" s="609"/>
      <c r="AP49" s="609"/>
      <c r="AQ49" s="610"/>
      <c r="AR49" s="622" t="str">
        <f>元請完成工事高!L38</f>
        <v/>
      </c>
      <c r="AS49" s="609"/>
      <c r="AT49" s="609"/>
      <c r="AU49" s="609"/>
      <c r="AV49" s="609"/>
      <c r="AW49" s="609"/>
      <c r="AX49" s="609"/>
      <c r="AY49" s="609"/>
      <c r="AZ49" s="609"/>
      <c r="BA49" s="610"/>
      <c r="BB49" s="622" t="str">
        <f>IF(V49="","",技術者!G38)</f>
        <v/>
      </c>
      <c r="BC49" s="609"/>
      <c r="BD49" s="609"/>
      <c r="BE49" s="609"/>
      <c r="BF49" s="610"/>
      <c r="BG49" s="272" t="s">
        <v>566</v>
      </c>
      <c r="BH49" s="609" t="str">
        <f>IF(V49="","",技術者!H38)</f>
        <v/>
      </c>
      <c r="BI49" s="609"/>
      <c r="BJ49" s="609"/>
      <c r="BK49" s="273" t="s">
        <v>567</v>
      </c>
      <c r="BL49" s="622" t="str">
        <f>IF(V49="","",技術者!I38)</f>
        <v/>
      </c>
      <c r="BM49" s="609"/>
      <c r="BN49" s="609"/>
      <c r="BO49" s="609"/>
      <c r="BP49" s="610"/>
      <c r="BQ49" s="622" t="str">
        <f>IF(V49="","",技術者!J38+技術者!K38)</f>
        <v/>
      </c>
      <c r="BR49" s="609"/>
      <c r="BS49" s="609"/>
      <c r="BT49" s="609"/>
      <c r="BU49" s="610"/>
      <c r="BV49" s="622" t="str">
        <f>IF(V49="","",技術者!L38+技術者!M38)</f>
        <v/>
      </c>
      <c r="BW49" s="609"/>
      <c r="BX49" s="609"/>
      <c r="BY49" s="609"/>
      <c r="BZ49" s="610"/>
      <c r="CA49" s="622" t="str">
        <f>IF(V49="","",技術者!N38)</f>
        <v/>
      </c>
      <c r="CB49" s="609"/>
      <c r="CC49" s="609"/>
      <c r="CD49" s="609"/>
      <c r="CE49" s="610"/>
      <c r="CF49" s="573" t="str">
        <f>技術者!R38</f>
        <v/>
      </c>
      <c r="CG49" s="574"/>
      <c r="CH49" s="574"/>
      <c r="CI49" s="574"/>
      <c r="CJ49" s="574"/>
      <c r="CK49" s="575"/>
      <c r="CM49" s="190"/>
      <c r="CN49" s="571" t="s">
        <v>248</v>
      </c>
      <c r="CO49" s="588"/>
      <c r="CP49" s="588"/>
      <c r="CQ49" s="588"/>
      <c r="CR49" s="588"/>
      <c r="CS49" s="588"/>
      <c r="CT49" s="588"/>
      <c r="CU49" s="588"/>
      <c r="CV49" s="588"/>
      <c r="CW49" s="588"/>
      <c r="CX49" s="588"/>
      <c r="CY49" s="588"/>
      <c r="CZ49" s="588"/>
      <c r="DA49" s="588"/>
      <c r="DB49" s="588"/>
      <c r="DC49" s="588"/>
      <c r="DD49" s="588"/>
      <c r="DE49" s="588"/>
      <c r="DF49" s="588"/>
      <c r="DG49" s="588"/>
      <c r="DH49" s="588"/>
      <c r="DI49" s="588"/>
      <c r="DJ49" s="588"/>
      <c r="DK49" s="588"/>
      <c r="DL49" s="588"/>
      <c r="DM49" s="588"/>
      <c r="DN49" s="588"/>
      <c r="DO49" s="588"/>
      <c r="DP49" s="588"/>
      <c r="DQ49" s="588"/>
      <c r="DR49" s="588"/>
      <c r="DS49" s="588"/>
      <c r="DT49" s="588"/>
      <c r="DU49" s="588"/>
      <c r="DV49" s="588"/>
      <c r="DW49" s="588"/>
      <c r="DX49" s="588"/>
      <c r="DY49" s="588"/>
      <c r="DZ49" s="589"/>
      <c r="EA49" s="576">
        <f>社会性等!Z37</f>
        <v>1</v>
      </c>
      <c r="EB49" s="577"/>
      <c r="EC49" s="577"/>
      <c r="ED49" s="577"/>
      <c r="EE49" s="577"/>
      <c r="EF49" s="577"/>
      <c r="EG49" s="577"/>
      <c r="EH49" s="577"/>
      <c r="EI49" s="577"/>
      <c r="EJ49" s="578"/>
      <c r="EP49" s="195"/>
    </row>
    <row r="50" spans="2:146" ht="10.5" customHeight="1" x14ac:dyDescent="0.15">
      <c r="B50" s="629"/>
      <c r="C50" s="630"/>
      <c r="D50" s="590" t="s">
        <v>157</v>
      </c>
      <c r="E50" s="624"/>
      <c r="F50" s="624"/>
      <c r="G50" s="624"/>
      <c r="H50" s="624"/>
      <c r="I50" s="624"/>
      <c r="J50" s="624"/>
      <c r="K50" s="624"/>
      <c r="L50" s="624"/>
      <c r="M50" s="624"/>
      <c r="N50" s="624"/>
      <c r="O50" s="624"/>
      <c r="P50" s="624"/>
      <c r="Q50" s="624"/>
      <c r="R50" s="624"/>
      <c r="S50" s="624"/>
      <c r="T50" s="624"/>
      <c r="U50" s="625"/>
      <c r="V50" s="576"/>
      <c r="W50" s="574"/>
      <c r="X50" s="574"/>
      <c r="Y50" s="574"/>
      <c r="Z50" s="574"/>
      <c r="AA50" s="575"/>
      <c r="AB50" s="622" t="str">
        <f>完成工事高!L39</f>
        <v/>
      </c>
      <c r="AC50" s="609"/>
      <c r="AD50" s="609"/>
      <c r="AE50" s="609"/>
      <c r="AF50" s="609"/>
      <c r="AG50" s="609"/>
      <c r="AH50" s="609"/>
      <c r="AI50" s="609"/>
      <c r="AJ50" s="609"/>
      <c r="AK50" s="610"/>
      <c r="AL50" s="622"/>
      <c r="AM50" s="609"/>
      <c r="AN50" s="609"/>
      <c r="AO50" s="609"/>
      <c r="AP50" s="609"/>
      <c r="AQ50" s="610"/>
      <c r="AR50" s="622" t="str">
        <f>元請完成工事高!L39</f>
        <v/>
      </c>
      <c r="AS50" s="609"/>
      <c r="AT50" s="609"/>
      <c r="AU50" s="609"/>
      <c r="AV50" s="609"/>
      <c r="AW50" s="609"/>
      <c r="AX50" s="609"/>
      <c r="AY50" s="609"/>
      <c r="AZ50" s="609"/>
      <c r="BA50" s="610"/>
      <c r="BB50" s="622"/>
      <c r="BC50" s="609"/>
      <c r="BD50" s="609"/>
      <c r="BE50" s="609"/>
      <c r="BF50" s="610"/>
      <c r="BG50" s="626"/>
      <c r="BH50" s="627"/>
      <c r="BI50" s="627"/>
      <c r="BJ50" s="627"/>
      <c r="BK50" s="628"/>
      <c r="BL50" s="622"/>
      <c r="BM50" s="609"/>
      <c r="BN50" s="609"/>
      <c r="BO50" s="609"/>
      <c r="BP50" s="610"/>
      <c r="BQ50" s="622"/>
      <c r="BR50" s="609"/>
      <c r="BS50" s="609"/>
      <c r="BT50" s="609"/>
      <c r="BU50" s="610"/>
      <c r="BV50" s="622"/>
      <c r="BW50" s="609"/>
      <c r="BX50" s="609"/>
      <c r="BY50" s="609"/>
      <c r="BZ50" s="610"/>
      <c r="CA50" s="622"/>
      <c r="CB50" s="609"/>
      <c r="CC50" s="609"/>
      <c r="CD50" s="609"/>
      <c r="CE50" s="610"/>
      <c r="CF50" s="573"/>
      <c r="CG50" s="574"/>
      <c r="CH50" s="574"/>
      <c r="CI50" s="574"/>
      <c r="CJ50" s="574"/>
      <c r="CK50" s="575"/>
      <c r="CM50" s="590" t="s">
        <v>278</v>
      </c>
      <c r="CN50" s="588"/>
      <c r="CO50" s="588"/>
      <c r="CP50" s="588"/>
      <c r="CQ50" s="588"/>
      <c r="CR50" s="588"/>
      <c r="CS50" s="588"/>
      <c r="CT50" s="588"/>
      <c r="CU50" s="588"/>
      <c r="CV50" s="588"/>
      <c r="CW50" s="588"/>
      <c r="CX50" s="588"/>
      <c r="CY50" s="588"/>
      <c r="CZ50" s="588"/>
      <c r="DA50" s="588"/>
      <c r="DB50" s="588"/>
      <c r="DC50" s="588"/>
      <c r="DD50" s="588"/>
      <c r="DE50" s="588"/>
      <c r="DF50" s="588"/>
      <c r="DG50" s="588"/>
      <c r="DH50" s="588"/>
      <c r="DI50" s="588"/>
      <c r="DJ50" s="588"/>
      <c r="DK50" s="588"/>
      <c r="DL50" s="588"/>
      <c r="DM50" s="588"/>
      <c r="DN50" s="588"/>
      <c r="DO50" s="588"/>
      <c r="DP50" s="588"/>
      <c r="DQ50" s="588"/>
      <c r="DR50" s="588"/>
      <c r="DS50" s="588"/>
      <c r="DT50" s="588"/>
      <c r="DU50" s="588"/>
      <c r="DV50" s="588"/>
      <c r="DW50" s="588"/>
      <c r="DX50" s="588"/>
      <c r="DY50" s="588"/>
      <c r="DZ50" s="588"/>
      <c r="EA50" s="588"/>
      <c r="EB50" s="588"/>
      <c r="EC50" s="588"/>
      <c r="ED50" s="588"/>
      <c r="EE50" s="588"/>
      <c r="EF50" s="588"/>
      <c r="EG50" s="591"/>
      <c r="EH50" s="201"/>
      <c r="EI50" s="201"/>
      <c r="EJ50" s="201"/>
      <c r="EK50" s="587">
        <f ca="1">社会性等!AH38</f>
        <v>6</v>
      </c>
      <c r="EL50" s="585"/>
      <c r="EM50" s="585"/>
      <c r="EN50" s="585"/>
      <c r="EO50" s="585"/>
      <c r="EP50" s="586"/>
    </row>
    <row r="51" spans="2:146" ht="10.5" customHeight="1" x14ac:dyDescent="0.15">
      <c r="C51" s="195"/>
      <c r="D51" s="603" t="s">
        <v>291</v>
      </c>
      <c r="E51" s="579"/>
      <c r="F51" s="579"/>
      <c r="G51" s="579"/>
      <c r="H51" s="579"/>
      <c r="I51" s="579"/>
      <c r="J51" s="579"/>
      <c r="K51" s="579"/>
      <c r="L51" s="579"/>
      <c r="M51" s="579"/>
      <c r="N51" s="579"/>
      <c r="O51" s="579"/>
      <c r="P51" s="579"/>
      <c r="Q51" s="579"/>
      <c r="R51" s="579"/>
      <c r="S51" s="579"/>
      <c r="T51" s="579"/>
      <c r="U51" s="579"/>
      <c r="V51" s="579"/>
      <c r="W51" s="579"/>
      <c r="X51" s="579"/>
      <c r="Y51" s="579"/>
      <c r="Z51" s="579"/>
      <c r="AA51" s="580"/>
      <c r="AB51" s="622">
        <f>完成工事高!L40</f>
        <v>221017</v>
      </c>
      <c r="AC51" s="609"/>
      <c r="AD51" s="609"/>
      <c r="AE51" s="609"/>
      <c r="AF51" s="609"/>
      <c r="AG51" s="609"/>
      <c r="AH51" s="609"/>
      <c r="AI51" s="609"/>
      <c r="AJ51" s="609"/>
      <c r="AK51" s="610"/>
      <c r="AL51" s="207"/>
      <c r="AM51" s="207"/>
      <c r="AN51" s="207"/>
      <c r="AO51" s="207"/>
      <c r="AP51" s="207"/>
      <c r="AQ51" s="207"/>
      <c r="AR51" s="622">
        <f>元請完成工事高!L40</f>
        <v>193477</v>
      </c>
      <c r="AS51" s="609"/>
      <c r="AT51" s="609"/>
      <c r="AU51" s="609"/>
      <c r="AV51" s="609"/>
      <c r="AW51" s="609"/>
      <c r="AX51" s="609"/>
      <c r="AY51" s="609"/>
      <c r="AZ51" s="609"/>
      <c r="BA51" s="610"/>
      <c r="BB51" s="622">
        <f>技術者!G40</f>
        <v>7</v>
      </c>
      <c r="BC51" s="609"/>
      <c r="BD51" s="609"/>
      <c r="BE51" s="609"/>
      <c r="BF51" s="610"/>
      <c r="BG51" s="272" t="s">
        <v>566</v>
      </c>
      <c r="BH51" s="609">
        <f>技術者!H40</f>
        <v>6</v>
      </c>
      <c r="BI51" s="609"/>
      <c r="BJ51" s="609"/>
      <c r="BK51" s="273" t="s">
        <v>567</v>
      </c>
      <c r="BL51" s="622">
        <f>技術者!I40</f>
        <v>1</v>
      </c>
      <c r="BM51" s="609"/>
      <c r="BN51" s="609"/>
      <c r="BO51" s="609"/>
      <c r="BP51" s="610"/>
      <c r="BQ51" s="622">
        <f>技術者!J40+技術者!K40</f>
        <v>3</v>
      </c>
      <c r="BR51" s="609"/>
      <c r="BS51" s="609"/>
      <c r="BT51" s="609"/>
      <c r="BU51" s="610"/>
      <c r="BV51" s="622">
        <f>技術者!L40+技術者!M40</f>
        <v>8</v>
      </c>
      <c r="BW51" s="609"/>
      <c r="BX51" s="609"/>
      <c r="BY51" s="609"/>
      <c r="BZ51" s="610"/>
      <c r="CA51" s="622">
        <f>技術者!N40</f>
        <v>1</v>
      </c>
      <c r="CB51" s="609"/>
      <c r="CC51" s="609"/>
      <c r="CD51" s="609"/>
      <c r="CE51" s="610"/>
      <c r="CM51" s="190"/>
      <c r="CN51" s="571" t="s">
        <v>250</v>
      </c>
      <c r="CO51" s="588"/>
      <c r="CP51" s="588"/>
      <c r="CQ51" s="588"/>
      <c r="CR51" s="588"/>
      <c r="CS51" s="588"/>
      <c r="CT51" s="588"/>
      <c r="CU51" s="588"/>
      <c r="CV51" s="588"/>
      <c r="CW51" s="588"/>
      <c r="CX51" s="588"/>
      <c r="CY51" s="588"/>
      <c r="CZ51" s="588"/>
      <c r="DA51" s="588"/>
      <c r="DB51" s="588"/>
      <c r="DC51" s="588"/>
      <c r="DD51" s="588"/>
      <c r="DE51" s="588"/>
      <c r="DF51" s="588"/>
      <c r="DG51" s="588"/>
      <c r="DH51" s="588"/>
      <c r="DI51" s="588"/>
      <c r="DJ51" s="588"/>
      <c r="DK51" s="588"/>
      <c r="DL51" s="588"/>
      <c r="DM51" s="588"/>
      <c r="DN51" s="588"/>
      <c r="DO51" s="588"/>
      <c r="DP51" s="588"/>
      <c r="DQ51" s="588"/>
      <c r="DR51" s="588"/>
      <c r="DS51" s="588"/>
      <c r="DT51" s="588"/>
      <c r="DU51" s="588"/>
      <c r="DV51" s="588"/>
      <c r="DW51" s="588"/>
      <c r="DX51" s="588"/>
      <c r="DY51" s="588"/>
      <c r="DZ51" s="589"/>
      <c r="EA51" s="573">
        <f>社会性等!Z40</f>
        <v>0</v>
      </c>
      <c r="EB51" s="577"/>
      <c r="EC51" s="577"/>
      <c r="ED51" s="577"/>
      <c r="EE51" s="577"/>
      <c r="EF51" s="577"/>
      <c r="EG51" s="577"/>
      <c r="EH51" s="577"/>
      <c r="EI51" s="577"/>
      <c r="EJ51" s="578"/>
      <c r="EK51" s="194"/>
      <c r="EP51" s="195"/>
    </row>
    <row r="52" spans="2:146" ht="10.5" customHeight="1" x14ac:dyDescent="0.15">
      <c r="B52" s="185" t="s">
        <v>293</v>
      </c>
      <c r="CM52" s="590" t="s">
        <v>251</v>
      </c>
      <c r="CN52" s="588"/>
      <c r="CO52" s="588"/>
      <c r="CP52" s="588"/>
      <c r="CQ52" s="588"/>
      <c r="CR52" s="588"/>
      <c r="CS52" s="588"/>
      <c r="CT52" s="588"/>
      <c r="CU52" s="588"/>
      <c r="CV52" s="588"/>
      <c r="CW52" s="588"/>
      <c r="CX52" s="588"/>
      <c r="CY52" s="588"/>
      <c r="CZ52" s="588"/>
      <c r="DA52" s="588"/>
      <c r="DB52" s="588"/>
      <c r="DC52" s="588"/>
      <c r="DD52" s="588"/>
      <c r="DE52" s="588"/>
      <c r="DF52" s="588"/>
      <c r="DG52" s="588"/>
      <c r="DH52" s="588"/>
      <c r="DI52" s="588"/>
      <c r="DJ52" s="588"/>
      <c r="DK52" s="588"/>
      <c r="DL52" s="588"/>
      <c r="DM52" s="588"/>
      <c r="DN52" s="588"/>
      <c r="DO52" s="588"/>
      <c r="DP52" s="588"/>
      <c r="DQ52" s="588"/>
      <c r="DR52" s="588"/>
      <c r="DS52" s="588"/>
      <c r="DT52" s="588"/>
      <c r="DU52" s="588"/>
      <c r="DV52" s="588"/>
      <c r="DW52" s="588"/>
      <c r="DX52" s="588"/>
      <c r="DY52" s="588"/>
      <c r="DZ52" s="588"/>
      <c r="EA52" s="588"/>
      <c r="EB52" s="588"/>
      <c r="EC52" s="588"/>
      <c r="ED52" s="588"/>
      <c r="EE52" s="588"/>
      <c r="EF52" s="588"/>
      <c r="EG52" s="591"/>
      <c r="EH52" s="201"/>
      <c r="EI52" s="201"/>
      <c r="EJ52" s="201"/>
      <c r="EK52" s="587">
        <f>社会性等!AH43</f>
        <v>0</v>
      </c>
      <c r="EL52" s="585"/>
      <c r="EM52" s="585"/>
      <c r="EN52" s="585"/>
      <c r="EO52" s="585"/>
      <c r="EP52" s="586"/>
    </row>
    <row r="53" spans="2:146" ht="10.5" customHeight="1" x14ac:dyDescent="0.15">
      <c r="B53" s="600" t="s">
        <v>281</v>
      </c>
      <c r="C53" s="601"/>
      <c r="D53" s="601"/>
      <c r="E53" s="601"/>
      <c r="F53" s="601"/>
      <c r="G53" s="601"/>
      <c r="H53" s="601"/>
      <c r="I53" s="601"/>
      <c r="J53" s="601"/>
      <c r="K53" s="601"/>
      <c r="L53" s="601"/>
      <c r="M53" s="602"/>
      <c r="N53" s="603" t="s">
        <v>622</v>
      </c>
      <c r="O53" s="579"/>
      <c r="P53" s="579"/>
      <c r="Q53" s="579"/>
      <c r="R53" s="579"/>
      <c r="S53" s="579"/>
      <c r="T53" s="579"/>
      <c r="U53" s="579"/>
      <c r="V53" s="579"/>
      <c r="W53" s="580"/>
      <c r="X53" s="600" t="s">
        <v>281</v>
      </c>
      <c r="Y53" s="601"/>
      <c r="Z53" s="601"/>
      <c r="AA53" s="601"/>
      <c r="AB53" s="601"/>
      <c r="AC53" s="601"/>
      <c r="AD53" s="601"/>
      <c r="AE53" s="601"/>
      <c r="AF53" s="601"/>
      <c r="AG53" s="601"/>
      <c r="AH53" s="601"/>
      <c r="AI53" s="602"/>
      <c r="AJ53" s="603" t="s">
        <v>622</v>
      </c>
      <c r="AK53" s="579"/>
      <c r="AL53" s="579"/>
      <c r="AM53" s="579"/>
      <c r="AN53" s="579"/>
      <c r="AO53" s="579"/>
      <c r="AP53" s="579"/>
      <c r="AQ53" s="579"/>
      <c r="AR53" s="579"/>
      <c r="AS53" s="580"/>
      <c r="AT53" s="600" t="s">
        <v>279</v>
      </c>
      <c r="AU53" s="616"/>
      <c r="AV53" s="616"/>
      <c r="AW53" s="616"/>
      <c r="AX53" s="616"/>
      <c r="AY53" s="616"/>
      <c r="AZ53" s="616"/>
      <c r="BA53" s="616"/>
      <c r="BB53" s="616"/>
      <c r="BC53" s="616"/>
      <c r="BD53" s="616"/>
      <c r="BE53" s="616"/>
      <c r="BF53" s="617"/>
      <c r="BG53" s="603" t="s">
        <v>622</v>
      </c>
      <c r="BH53" s="604"/>
      <c r="BI53" s="604"/>
      <c r="BJ53" s="604"/>
      <c r="BK53" s="604"/>
      <c r="BL53" s="604"/>
      <c r="BM53" s="604"/>
      <c r="BN53" s="604"/>
      <c r="BO53" s="605"/>
      <c r="BP53" s="600" t="s">
        <v>279</v>
      </c>
      <c r="BQ53" s="616"/>
      <c r="BR53" s="616"/>
      <c r="BS53" s="616"/>
      <c r="BT53" s="616"/>
      <c r="BU53" s="616"/>
      <c r="BV53" s="616"/>
      <c r="BW53" s="616"/>
      <c r="BX53" s="616"/>
      <c r="BY53" s="616"/>
      <c r="BZ53" s="616"/>
      <c r="CA53" s="616"/>
      <c r="CB53" s="617"/>
      <c r="CC53" s="603" t="s">
        <v>622</v>
      </c>
      <c r="CD53" s="579"/>
      <c r="CE53" s="579"/>
      <c r="CF53" s="579"/>
      <c r="CG53" s="579"/>
      <c r="CH53" s="579"/>
      <c r="CI53" s="579"/>
      <c r="CJ53" s="579"/>
      <c r="CK53" s="580"/>
      <c r="CM53" s="188"/>
      <c r="CN53" s="571" t="s">
        <v>438</v>
      </c>
      <c r="CO53" s="571"/>
      <c r="CP53" s="571"/>
      <c r="CQ53" s="571"/>
      <c r="CR53" s="571"/>
      <c r="CS53" s="571"/>
      <c r="CT53" s="571"/>
      <c r="CU53" s="571"/>
      <c r="CV53" s="571"/>
      <c r="CW53" s="571"/>
      <c r="CX53" s="571"/>
      <c r="CY53" s="571"/>
      <c r="CZ53" s="571"/>
      <c r="DA53" s="571"/>
      <c r="DB53" s="571"/>
      <c r="DC53" s="571"/>
      <c r="DD53" s="571"/>
      <c r="DE53" s="571"/>
      <c r="DF53" s="571"/>
      <c r="DG53" s="571"/>
      <c r="DH53" s="571"/>
      <c r="DI53" s="571"/>
      <c r="DJ53" s="571"/>
      <c r="DK53" s="571"/>
      <c r="DL53" s="571"/>
      <c r="DM53" s="571"/>
      <c r="DN53" s="571"/>
      <c r="DO53" s="571"/>
      <c r="DP53" s="571"/>
      <c r="DQ53" s="571"/>
      <c r="DR53" s="571"/>
      <c r="DS53" s="571"/>
      <c r="DT53" s="571"/>
      <c r="DU53" s="571"/>
      <c r="DV53" s="571"/>
      <c r="DW53" s="571"/>
      <c r="DX53" s="571"/>
      <c r="DY53" s="571"/>
      <c r="DZ53" s="572"/>
      <c r="EA53" s="576">
        <f>社会性等!Z45</f>
        <v>10</v>
      </c>
      <c r="EB53" s="574"/>
      <c r="EC53" s="574"/>
      <c r="ED53" s="574"/>
      <c r="EE53" s="574"/>
      <c r="EF53" s="574"/>
      <c r="EG53" s="574"/>
      <c r="EH53" s="574"/>
      <c r="EI53" s="592" t="s">
        <v>437</v>
      </c>
      <c r="EJ53" s="593"/>
      <c r="EK53" s="202"/>
      <c r="EL53" s="203"/>
      <c r="EM53" s="203"/>
      <c r="EN53" s="203"/>
      <c r="EO53" s="203"/>
      <c r="EP53" s="204"/>
    </row>
    <row r="54" spans="2:146" ht="10.5" customHeight="1" x14ac:dyDescent="0.15">
      <c r="B54" s="599" t="s">
        <v>409</v>
      </c>
      <c r="C54" s="594"/>
      <c r="D54" s="594"/>
      <c r="E54" s="594"/>
      <c r="F54" s="594"/>
      <c r="G54" s="594"/>
      <c r="H54" s="594"/>
      <c r="I54" s="594"/>
      <c r="J54" s="594"/>
      <c r="K54" s="594"/>
      <c r="L54" s="594"/>
      <c r="M54" s="595"/>
      <c r="N54" s="573">
        <f>'経営状況・自己資本額、平均利益額'!D49</f>
        <v>134578</v>
      </c>
      <c r="O54" s="574"/>
      <c r="P54" s="574"/>
      <c r="Q54" s="574"/>
      <c r="R54" s="574"/>
      <c r="S54" s="574"/>
      <c r="T54" s="574"/>
      <c r="U54" s="574"/>
      <c r="V54" s="574"/>
      <c r="W54" s="575"/>
      <c r="X54" s="599" t="s">
        <v>164</v>
      </c>
      <c r="Y54" s="594"/>
      <c r="Z54" s="594"/>
      <c r="AA54" s="594"/>
      <c r="AB54" s="594"/>
      <c r="AC54" s="594"/>
      <c r="AD54" s="594"/>
      <c r="AE54" s="594"/>
      <c r="AF54" s="594"/>
      <c r="AG54" s="594"/>
      <c r="AH54" s="594"/>
      <c r="AI54" s="595"/>
      <c r="AJ54" s="573">
        <f>'経営状況・自己資本額、平均利益額'!G49</f>
        <v>298072</v>
      </c>
      <c r="AK54" s="574"/>
      <c r="AL54" s="574"/>
      <c r="AM54" s="574"/>
      <c r="AN54" s="574"/>
      <c r="AO54" s="574"/>
      <c r="AP54" s="574"/>
      <c r="AQ54" s="574"/>
      <c r="AR54" s="574"/>
      <c r="AS54" s="575"/>
      <c r="AT54" s="590" t="s">
        <v>20</v>
      </c>
      <c r="AU54" s="571"/>
      <c r="AV54" s="571"/>
      <c r="AW54" s="571"/>
      <c r="AX54" s="571"/>
      <c r="AY54" s="571"/>
      <c r="AZ54" s="571"/>
      <c r="BA54" s="571"/>
      <c r="BB54" s="571"/>
      <c r="BC54" s="571"/>
      <c r="BD54" s="571"/>
      <c r="BE54" s="571"/>
      <c r="BF54" s="572"/>
      <c r="BG54" s="606">
        <f>'経営状況・自己資本額、平均利益額'!E34</f>
        <v>0.44700000000000001</v>
      </c>
      <c r="BH54" s="607"/>
      <c r="BI54" s="607"/>
      <c r="BJ54" s="607"/>
      <c r="BK54" s="607"/>
      <c r="BL54" s="607"/>
      <c r="BM54" s="607"/>
      <c r="BN54" s="607"/>
      <c r="BO54" s="608"/>
      <c r="BP54" s="611" t="s">
        <v>163</v>
      </c>
      <c r="BQ54" s="612"/>
      <c r="BR54" s="612"/>
      <c r="BS54" s="612"/>
      <c r="BT54" s="612"/>
      <c r="BU54" s="612"/>
      <c r="BV54" s="612"/>
      <c r="BW54" s="612"/>
      <c r="BX54" s="612"/>
      <c r="BY54" s="612"/>
      <c r="BZ54" s="612"/>
      <c r="CA54" s="612"/>
      <c r="CB54" s="613"/>
      <c r="CC54" s="606">
        <f>'経営状況・自己資本額、平均利益額'!E38</f>
        <v>101.34699999999999</v>
      </c>
      <c r="CD54" s="607"/>
      <c r="CE54" s="607"/>
      <c r="CF54" s="607"/>
      <c r="CG54" s="607"/>
      <c r="CH54" s="607"/>
      <c r="CI54" s="607"/>
      <c r="CJ54" s="607"/>
      <c r="CK54" s="608"/>
      <c r="CM54" s="590" t="s">
        <v>439</v>
      </c>
      <c r="CN54" s="588"/>
      <c r="CO54" s="588"/>
      <c r="CP54" s="588"/>
      <c r="CQ54" s="588"/>
      <c r="CR54" s="588"/>
      <c r="CS54" s="588"/>
      <c r="CT54" s="588"/>
      <c r="CU54" s="588"/>
      <c r="CV54" s="588"/>
      <c r="CW54" s="588"/>
      <c r="CX54" s="588"/>
      <c r="CY54" s="588"/>
      <c r="CZ54" s="588"/>
      <c r="DA54" s="588"/>
      <c r="DB54" s="588"/>
      <c r="DC54" s="588"/>
      <c r="DD54" s="588"/>
      <c r="DE54" s="588"/>
      <c r="DF54" s="588"/>
      <c r="DG54" s="588"/>
      <c r="DH54" s="588"/>
      <c r="DI54" s="588"/>
      <c r="DJ54" s="588"/>
      <c r="DK54" s="588"/>
      <c r="DL54" s="588"/>
      <c r="DM54" s="588"/>
      <c r="DN54" s="588"/>
      <c r="DO54" s="588"/>
      <c r="DP54" s="588"/>
      <c r="DQ54" s="588"/>
      <c r="DR54" s="588"/>
      <c r="DS54" s="588"/>
      <c r="DT54" s="588"/>
      <c r="DU54" s="588"/>
      <c r="DV54" s="588"/>
      <c r="DW54" s="588"/>
      <c r="DX54" s="588"/>
      <c r="DY54" s="588"/>
      <c r="DZ54" s="588"/>
      <c r="EA54" s="588"/>
      <c r="EB54" s="588"/>
      <c r="EC54" s="588"/>
      <c r="ED54" s="588"/>
      <c r="EE54" s="588"/>
      <c r="EF54" s="588"/>
      <c r="EG54" s="591"/>
      <c r="EH54" s="201"/>
      <c r="EI54" s="201"/>
      <c r="EJ54" s="201"/>
      <c r="EK54" s="584">
        <f>社会性等!AH46</f>
        <v>13</v>
      </c>
      <c r="EL54" s="585"/>
      <c r="EM54" s="585"/>
      <c r="EN54" s="585"/>
      <c r="EO54" s="585"/>
      <c r="EP54" s="586"/>
    </row>
    <row r="55" spans="2:146" ht="10.5" customHeight="1" x14ac:dyDescent="0.15">
      <c r="B55" s="599" t="s">
        <v>210</v>
      </c>
      <c r="C55" s="594"/>
      <c r="D55" s="594"/>
      <c r="E55" s="594"/>
      <c r="F55" s="594"/>
      <c r="G55" s="594"/>
      <c r="H55" s="594"/>
      <c r="I55" s="594"/>
      <c r="J55" s="594"/>
      <c r="K55" s="594"/>
      <c r="L55" s="594"/>
      <c r="M55" s="595"/>
      <c r="N55" s="573">
        <f>'経営状況・自己資本額、平均利益額'!D50</f>
        <v>125018</v>
      </c>
      <c r="O55" s="574"/>
      <c r="P55" s="574"/>
      <c r="Q55" s="574"/>
      <c r="R55" s="574"/>
      <c r="S55" s="574"/>
      <c r="T55" s="574"/>
      <c r="U55" s="574"/>
      <c r="V55" s="574"/>
      <c r="W55" s="575"/>
      <c r="X55" s="599" t="s">
        <v>211</v>
      </c>
      <c r="Y55" s="594"/>
      <c r="Z55" s="594"/>
      <c r="AA55" s="594"/>
      <c r="AB55" s="594"/>
      <c r="AC55" s="594"/>
      <c r="AD55" s="594"/>
      <c r="AE55" s="594"/>
      <c r="AF55" s="594"/>
      <c r="AG55" s="594"/>
      <c r="AH55" s="594"/>
      <c r="AI55" s="595"/>
      <c r="AJ55" s="573">
        <f>'経営状況・自己資本額、平均利益額'!G50</f>
        <v>54041</v>
      </c>
      <c r="AK55" s="574"/>
      <c r="AL55" s="574"/>
      <c r="AM55" s="574"/>
      <c r="AN55" s="574"/>
      <c r="AO55" s="574"/>
      <c r="AP55" s="574"/>
      <c r="AQ55" s="574"/>
      <c r="AR55" s="574"/>
      <c r="AS55" s="575"/>
      <c r="AT55" s="590" t="s">
        <v>217</v>
      </c>
      <c r="AU55" s="571"/>
      <c r="AV55" s="571"/>
      <c r="AW55" s="571"/>
      <c r="AX55" s="571"/>
      <c r="AY55" s="571"/>
      <c r="AZ55" s="571"/>
      <c r="BA55" s="571"/>
      <c r="BB55" s="571"/>
      <c r="BC55" s="571"/>
      <c r="BD55" s="571"/>
      <c r="BE55" s="571"/>
      <c r="BF55" s="572"/>
      <c r="BG55" s="606">
        <f>'経営状況・自己資本額、平均利益額'!E35</f>
        <v>7.2220000000000004</v>
      </c>
      <c r="BH55" s="607"/>
      <c r="BI55" s="607"/>
      <c r="BJ55" s="607"/>
      <c r="BK55" s="607"/>
      <c r="BL55" s="607"/>
      <c r="BM55" s="607"/>
      <c r="BN55" s="607"/>
      <c r="BO55" s="608"/>
      <c r="BP55" s="590" t="s">
        <v>19</v>
      </c>
      <c r="BQ55" s="571"/>
      <c r="BR55" s="571"/>
      <c r="BS55" s="571"/>
      <c r="BT55" s="571"/>
      <c r="BU55" s="571"/>
      <c r="BV55" s="571"/>
      <c r="BW55" s="571"/>
      <c r="BX55" s="571"/>
      <c r="BY55" s="571"/>
      <c r="BZ55" s="571"/>
      <c r="CA55" s="571"/>
      <c r="CB55" s="572"/>
      <c r="CC55" s="606">
        <f>'経営状況・自己資本額、平均利益額'!E39</f>
        <v>43.328000000000003</v>
      </c>
      <c r="CD55" s="607"/>
      <c r="CE55" s="607"/>
      <c r="CF55" s="607"/>
      <c r="CG55" s="607"/>
      <c r="CH55" s="607"/>
      <c r="CI55" s="607"/>
      <c r="CJ55" s="607"/>
      <c r="CK55" s="608"/>
      <c r="CM55" s="188"/>
      <c r="CN55" s="571" t="s">
        <v>755</v>
      </c>
      <c r="CO55" s="571"/>
      <c r="CP55" s="571"/>
      <c r="CQ55" s="571"/>
      <c r="CR55" s="571"/>
      <c r="CS55" s="571"/>
      <c r="CT55" s="571"/>
      <c r="CU55" s="571"/>
      <c r="CV55" s="571"/>
      <c r="CW55" s="571"/>
      <c r="CX55" s="571"/>
      <c r="CY55" s="571"/>
      <c r="CZ55" s="571"/>
      <c r="DA55" s="571"/>
      <c r="DB55" s="571"/>
      <c r="DC55" s="571"/>
      <c r="DD55" s="571"/>
      <c r="DE55" s="571"/>
      <c r="DF55" s="571"/>
      <c r="DG55" s="571"/>
      <c r="DH55" s="571"/>
      <c r="DI55" s="571"/>
      <c r="DJ55" s="571"/>
      <c r="DK55" s="571"/>
      <c r="DL55" s="571"/>
      <c r="DM55" s="571"/>
      <c r="DN55" s="571"/>
      <c r="DO55" s="571"/>
      <c r="DP55" s="571"/>
      <c r="DQ55" s="571"/>
      <c r="DR55" s="571"/>
      <c r="DS55" s="571"/>
      <c r="DT55" s="571"/>
      <c r="DU55" s="571"/>
      <c r="DV55" s="571"/>
      <c r="DW55" s="571"/>
      <c r="DX55" s="571"/>
      <c r="DY55" s="571"/>
      <c r="DZ55" s="572"/>
      <c r="EA55" s="576" t="str">
        <f>社会性等!AN48</f>
        <v>有</v>
      </c>
      <c r="EB55" s="577"/>
      <c r="EC55" s="577"/>
      <c r="ED55" s="577"/>
      <c r="EE55" s="577"/>
      <c r="EF55" s="577"/>
      <c r="EG55" s="577"/>
      <c r="EH55" s="577"/>
      <c r="EI55" s="577"/>
      <c r="EJ55" s="578"/>
      <c r="EK55" s="202"/>
      <c r="EL55" s="203"/>
      <c r="EM55" s="203"/>
      <c r="EN55" s="203"/>
      <c r="EO55" s="203"/>
      <c r="EP55" s="204"/>
    </row>
    <row r="56" spans="2:146" ht="10.5" customHeight="1" x14ac:dyDescent="0.15">
      <c r="B56" s="599" t="s">
        <v>11</v>
      </c>
      <c r="C56" s="594"/>
      <c r="D56" s="594"/>
      <c r="E56" s="594"/>
      <c r="F56" s="594"/>
      <c r="G56" s="594"/>
      <c r="H56" s="594"/>
      <c r="I56" s="594"/>
      <c r="J56" s="594"/>
      <c r="K56" s="594"/>
      <c r="L56" s="594"/>
      <c r="M56" s="595"/>
      <c r="N56" s="573">
        <f>'経営状況・自己資本額、平均利益額'!D51</f>
        <v>54375</v>
      </c>
      <c r="O56" s="574"/>
      <c r="P56" s="574"/>
      <c r="Q56" s="574"/>
      <c r="R56" s="574"/>
      <c r="S56" s="574"/>
      <c r="T56" s="574"/>
      <c r="U56" s="574"/>
      <c r="V56" s="574"/>
      <c r="W56" s="575"/>
      <c r="X56" s="599" t="s">
        <v>8</v>
      </c>
      <c r="Y56" s="594"/>
      <c r="Z56" s="594"/>
      <c r="AA56" s="594"/>
      <c r="AB56" s="594"/>
      <c r="AC56" s="594"/>
      <c r="AD56" s="594"/>
      <c r="AE56" s="594"/>
      <c r="AF56" s="594"/>
      <c r="AG56" s="594"/>
      <c r="AH56" s="594"/>
      <c r="AI56" s="595"/>
      <c r="AJ56" s="573">
        <f>'経営状況・自己資本額、平均利益額'!G51</f>
        <v>23</v>
      </c>
      <c r="AK56" s="574"/>
      <c r="AL56" s="574"/>
      <c r="AM56" s="574"/>
      <c r="AN56" s="574"/>
      <c r="AO56" s="574"/>
      <c r="AP56" s="574"/>
      <c r="AQ56" s="574"/>
      <c r="AR56" s="574"/>
      <c r="AS56" s="575"/>
      <c r="AT56" s="599" t="s">
        <v>220</v>
      </c>
      <c r="AU56" s="594"/>
      <c r="AV56" s="594"/>
      <c r="AW56" s="594"/>
      <c r="AX56" s="594"/>
      <c r="AY56" s="594"/>
      <c r="AZ56" s="594"/>
      <c r="BA56" s="594"/>
      <c r="BB56" s="594"/>
      <c r="BC56" s="594"/>
      <c r="BD56" s="594"/>
      <c r="BE56" s="594"/>
      <c r="BF56" s="595"/>
      <c r="BG56" s="606">
        <f>'経営状況・自己資本額、平均利益額'!E36</f>
        <v>18.911000000000001</v>
      </c>
      <c r="BH56" s="607"/>
      <c r="BI56" s="607"/>
      <c r="BJ56" s="607"/>
      <c r="BK56" s="607"/>
      <c r="BL56" s="607"/>
      <c r="BM56" s="607"/>
      <c r="BN56" s="607"/>
      <c r="BO56" s="608"/>
      <c r="BP56" s="611" t="s">
        <v>219</v>
      </c>
      <c r="BQ56" s="612"/>
      <c r="BR56" s="612"/>
      <c r="BS56" s="612"/>
      <c r="BT56" s="612"/>
      <c r="BU56" s="612"/>
      <c r="BV56" s="612"/>
      <c r="BW56" s="612"/>
      <c r="BX56" s="612"/>
      <c r="BY56" s="612"/>
      <c r="BZ56" s="612"/>
      <c r="CA56" s="612"/>
      <c r="CB56" s="613"/>
      <c r="CC56" s="606">
        <f>'経営状況・自己資本額、平均利益額'!E40</f>
        <v>0.17699999999999999</v>
      </c>
      <c r="CD56" s="607"/>
      <c r="CE56" s="607"/>
      <c r="CF56" s="607"/>
      <c r="CG56" s="607"/>
      <c r="CH56" s="607"/>
      <c r="CI56" s="607"/>
      <c r="CJ56" s="607"/>
      <c r="CK56" s="608"/>
      <c r="CM56" s="188"/>
      <c r="CN56" s="571" t="s">
        <v>440</v>
      </c>
      <c r="CO56" s="571"/>
      <c r="CP56" s="571"/>
      <c r="CQ56" s="571"/>
      <c r="CR56" s="571"/>
      <c r="CS56" s="571"/>
      <c r="CT56" s="571"/>
      <c r="CU56" s="571"/>
      <c r="CV56" s="571"/>
      <c r="CW56" s="571"/>
      <c r="CX56" s="571"/>
      <c r="CY56" s="571"/>
      <c r="CZ56" s="571"/>
      <c r="DA56" s="571"/>
      <c r="DB56" s="571"/>
      <c r="DC56" s="571"/>
      <c r="DD56" s="571"/>
      <c r="DE56" s="571"/>
      <c r="DF56" s="571"/>
      <c r="DG56" s="571"/>
      <c r="DH56" s="571"/>
      <c r="DI56" s="571"/>
      <c r="DJ56" s="571"/>
      <c r="DK56" s="571"/>
      <c r="DL56" s="571"/>
      <c r="DM56" s="571"/>
      <c r="DN56" s="571"/>
      <c r="DO56" s="571"/>
      <c r="DP56" s="571"/>
      <c r="DQ56" s="571"/>
      <c r="DR56" s="571"/>
      <c r="DS56" s="571"/>
      <c r="DT56" s="571"/>
      <c r="DU56" s="571"/>
      <c r="DV56" s="571"/>
      <c r="DW56" s="571"/>
      <c r="DX56" s="571"/>
      <c r="DY56" s="571"/>
      <c r="DZ56" s="572"/>
      <c r="EA56" s="576" t="str">
        <f>社会性等!AN49</f>
        <v>有</v>
      </c>
      <c r="EB56" s="577"/>
      <c r="EC56" s="577"/>
      <c r="ED56" s="577"/>
      <c r="EE56" s="577"/>
      <c r="EF56" s="577"/>
      <c r="EG56" s="577"/>
      <c r="EH56" s="577"/>
      <c r="EI56" s="577"/>
      <c r="EJ56" s="578"/>
      <c r="EK56" s="202"/>
      <c r="EL56" s="203"/>
      <c r="EM56" s="203"/>
      <c r="EN56" s="203"/>
      <c r="EO56" s="203"/>
      <c r="EP56" s="204"/>
    </row>
    <row r="57" spans="2:146" ht="10.5" customHeight="1" x14ac:dyDescent="0.15">
      <c r="B57" s="599" t="s">
        <v>214</v>
      </c>
      <c r="C57" s="594"/>
      <c r="D57" s="594"/>
      <c r="E57" s="594"/>
      <c r="F57" s="594"/>
      <c r="G57" s="594"/>
      <c r="H57" s="594"/>
      <c r="I57" s="594"/>
      <c r="J57" s="594"/>
      <c r="K57" s="594"/>
      <c r="L57" s="594"/>
      <c r="M57" s="595"/>
      <c r="N57" s="573">
        <f>'経営状況・自己資本額、平均利益額'!D52</f>
        <v>116391</v>
      </c>
      <c r="O57" s="574"/>
      <c r="P57" s="574"/>
      <c r="Q57" s="574"/>
      <c r="R57" s="574"/>
      <c r="S57" s="574"/>
      <c r="T57" s="574"/>
      <c r="U57" s="574"/>
      <c r="V57" s="574"/>
      <c r="W57" s="575"/>
      <c r="X57" s="599" t="s">
        <v>14</v>
      </c>
      <c r="Y57" s="594"/>
      <c r="Z57" s="594"/>
      <c r="AA57" s="594"/>
      <c r="AB57" s="594"/>
      <c r="AC57" s="594"/>
      <c r="AD57" s="594"/>
      <c r="AE57" s="594"/>
      <c r="AF57" s="594"/>
      <c r="AG57" s="594"/>
      <c r="AH57" s="594"/>
      <c r="AI57" s="595"/>
      <c r="AJ57" s="573">
        <f>'経営状況・自己資本額、平均利益額'!G52</f>
        <v>1355</v>
      </c>
      <c r="AK57" s="574"/>
      <c r="AL57" s="574"/>
      <c r="AM57" s="574"/>
      <c r="AN57" s="574"/>
      <c r="AO57" s="574"/>
      <c r="AP57" s="574"/>
      <c r="AQ57" s="574"/>
      <c r="AR57" s="574"/>
      <c r="AS57" s="575"/>
      <c r="AT57" s="590" t="s">
        <v>280</v>
      </c>
      <c r="AU57" s="571"/>
      <c r="AV57" s="571"/>
      <c r="AW57" s="571"/>
      <c r="AX57" s="571"/>
      <c r="AY57" s="571"/>
      <c r="AZ57" s="571"/>
      <c r="BA57" s="571"/>
      <c r="BB57" s="571"/>
      <c r="BC57" s="571"/>
      <c r="BD57" s="571"/>
      <c r="BE57" s="571"/>
      <c r="BF57" s="572"/>
      <c r="BG57" s="606">
        <f>'経営状況・自己資本額、平均利益額'!E37</f>
        <v>0.11799999999999999</v>
      </c>
      <c r="BH57" s="607"/>
      <c r="BI57" s="607"/>
      <c r="BJ57" s="607"/>
      <c r="BK57" s="607"/>
      <c r="BL57" s="607"/>
      <c r="BM57" s="607"/>
      <c r="BN57" s="607"/>
      <c r="BO57" s="608"/>
      <c r="BP57" s="590" t="s">
        <v>214</v>
      </c>
      <c r="BQ57" s="571"/>
      <c r="BR57" s="571"/>
      <c r="BS57" s="571"/>
      <c r="BT57" s="571"/>
      <c r="BU57" s="571"/>
      <c r="BV57" s="571"/>
      <c r="BW57" s="571"/>
      <c r="BX57" s="571"/>
      <c r="BY57" s="571"/>
      <c r="BZ57" s="571"/>
      <c r="CA57" s="571"/>
      <c r="CB57" s="572"/>
      <c r="CC57" s="606">
        <f>'経営状況・自己資本額、平均利益額'!E41</f>
        <v>1.1639999999999999</v>
      </c>
      <c r="CD57" s="607"/>
      <c r="CE57" s="607"/>
      <c r="CF57" s="607"/>
      <c r="CG57" s="607"/>
      <c r="CH57" s="607"/>
      <c r="CI57" s="607"/>
      <c r="CJ57" s="607"/>
      <c r="CK57" s="608"/>
      <c r="CM57" s="188"/>
      <c r="CN57" s="571" t="s">
        <v>441</v>
      </c>
      <c r="CO57" s="571"/>
      <c r="CP57" s="571"/>
      <c r="CQ57" s="571"/>
      <c r="CR57" s="571"/>
      <c r="CS57" s="571"/>
      <c r="CT57" s="571"/>
      <c r="CU57" s="571"/>
      <c r="CV57" s="571"/>
      <c r="CW57" s="571"/>
      <c r="CX57" s="571"/>
      <c r="CY57" s="571"/>
      <c r="CZ57" s="571"/>
      <c r="DA57" s="571"/>
      <c r="DB57" s="571"/>
      <c r="DC57" s="571"/>
      <c r="DD57" s="571"/>
      <c r="DE57" s="571"/>
      <c r="DF57" s="571"/>
      <c r="DG57" s="571"/>
      <c r="DH57" s="571"/>
      <c r="DI57" s="571"/>
      <c r="DJ57" s="571"/>
      <c r="DK57" s="571"/>
      <c r="DL57" s="571"/>
      <c r="DM57" s="571"/>
      <c r="DN57" s="571"/>
      <c r="DO57" s="571"/>
      <c r="DP57" s="571"/>
      <c r="DQ57" s="571"/>
      <c r="DR57" s="571"/>
      <c r="DS57" s="571"/>
      <c r="DT57" s="571"/>
      <c r="DU57" s="571"/>
      <c r="DV57" s="571"/>
      <c r="DW57" s="571"/>
      <c r="DX57" s="571"/>
      <c r="DY57" s="571"/>
      <c r="DZ57" s="572"/>
      <c r="EA57" s="576" t="str">
        <f>社会性等!AN50</f>
        <v>有</v>
      </c>
      <c r="EB57" s="577"/>
      <c r="EC57" s="577"/>
      <c r="ED57" s="577"/>
      <c r="EE57" s="577"/>
      <c r="EF57" s="577"/>
      <c r="EG57" s="577"/>
      <c r="EH57" s="577"/>
      <c r="EI57" s="577"/>
      <c r="EJ57" s="578"/>
      <c r="EK57" s="205"/>
      <c r="EL57" s="203"/>
      <c r="EM57" s="203"/>
      <c r="EN57" s="203"/>
      <c r="EO57" s="203"/>
      <c r="EP57" s="204"/>
    </row>
    <row r="58" spans="2:146" ht="10.5" customHeight="1" x14ac:dyDescent="0.15">
      <c r="B58" s="599" t="s">
        <v>41</v>
      </c>
      <c r="C58" s="594"/>
      <c r="D58" s="594"/>
      <c r="E58" s="594"/>
      <c r="F58" s="594"/>
      <c r="G58" s="594"/>
      <c r="H58" s="594"/>
      <c r="I58" s="594"/>
      <c r="J58" s="594"/>
      <c r="K58" s="594"/>
      <c r="L58" s="594"/>
      <c r="M58" s="595"/>
      <c r="N58" s="573">
        <f>'経営状況・自己資本額、平均利益額'!D53</f>
        <v>136391</v>
      </c>
      <c r="O58" s="574"/>
      <c r="P58" s="574"/>
      <c r="Q58" s="574"/>
      <c r="R58" s="574"/>
      <c r="S58" s="574"/>
      <c r="T58" s="574"/>
      <c r="U58" s="574"/>
      <c r="V58" s="574"/>
      <c r="W58" s="575"/>
      <c r="X58" s="599" t="s">
        <v>13</v>
      </c>
      <c r="Y58" s="594"/>
      <c r="Z58" s="594"/>
      <c r="AA58" s="594"/>
      <c r="AB58" s="594"/>
      <c r="AC58" s="594"/>
      <c r="AD58" s="594"/>
      <c r="AE58" s="594"/>
      <c r="AF58" s="594"/>
      <c r="AG58" s="594"/>
      <c r="AH58" s="594"/>
      <c r="AI58" s="595"/>
      <c r="AJ58" s="573">
        <f>'経営状況・自己資本額、平均利益額'!G53</f>
        <v>352</v>
      </c>
      <c r="AK58" s="574"/>
      <c r="AL58" s="574"/>
      <c r="AM58" s="574"/>
      <c r="AN58" s="574"/>
      <c r="AO58" s="574"/>
      <c r="AP58" s="574"/>
      <c r="AQ58" s="574"/>
      <c r="AR58" s="574"/>
      <c r="AS58" s="575"/>
      <c r="AT58" s="614" t="s">
        <v>525</v>
      </c>
      <c r="AU58" s="615"/>
      <c r="AV58" s="615"/>
      <c r="AW58" s="615"/>
      <c r="AX58" s="615"/>
      <c r="AY58" s="615"/>
      <c r="AZ58" s="615"/>
      <c r="BA58" s="615"/>
      <c r="BB58" s="615"/>
      <c r="BC58" s="615"/>
      <c r="BD58" s="615"/>
      <c r="BE58" s="615"/>
      <c r="BF58" s="615"/>
      <c r="BG58" s="615"/>
      <c r="BH58" s="615"/>
      <c r="BI58" s="615"/>
      <c r="BJ58" s="615"/>
      <c r="BK58" s="615"/>
      <c r="BL58" s="615"/>
      <c r="BM58" s="615"/>
      <c r="BN58" s="615"/>
      <c r="BO58" s="615"/>
      <c r="BP58" s="615"/>
      <c r="BQ58" s="615"/>
      <c r="BR58" s="615"/>
      <c r="BS58" s="615"/>
      <c r="BT58" s="615"/>
      <c r="BU58" s="615"/>
      <c r="BV58" s="615"/>
      <c r="BW58" s="615"/>
      <c r="BX58" s="615"/>
      <c r="BY58" s="615"/>
      <c r="BZ58" s="615"/>
      <c r="CA58" s="615"/>
      <c r="CB58" s="615"/>
      <c r="CC58" s="609">
        <f>'経営状況・自己資本額、平均利益額'!E42</f>
        <v>0</v>
      </c>
      <c r="CD58" s="609"/>
      <c r="CE58" s="609"/>
      <c r="CF58" s="609"/>
      <c r="CG58" s="609"/>
      <c r="CH58" s="609"/>
      <c r="CI58" s="609"/>
      <c r="CJ58" s="609"/>
      <c r="CK58" s="610"/>
      <c r="CM58" s="698" t="s">
        <v>767</v>
      </c>
      <c r="CN58" s="646"/>
      <c r="CO58" s="646"/>
      <c r="CP58" s="646"/>
      <c r="CQ58" s="646"/>
      <c r="CR58" s="646"/>
      <c r="CS58" s="646"/>
      <c r="CT58" s="646"/>
      <c r="CU58" s="646"/>
      <c r="CV58" s="646"/>
      <c r="CW58" s="646"/>
      <c r="CX58" s="646"/>
      <c r="CY58" s="646"/>
      <c r="CZ58" s="646"/>
      <c r="DA58" s="646"/>
      <c r="DB58" s="646"/>
      <c r="DC58" s="646"/>
      <c r="DD58" s="646"/>
      <c r="DE58" s="646"/>
      <c r="DF58" s="646"/>
      <c r="DG58" s="646"/>
      <c r="DH58" s="646"/>
      <c r="DI58" s="646"/>
      <c r="DJ58" s="646"/>
      <c r="DK58" s="646"/>
      <c r="DL58" s="646"/>
      <c r="DM58" s="646"/>
      <c r="DN58" s="646"/>
      <c r="DO58" s="646"/>
      <c r="DP58" s="646"/>
      <c r="DQ58" s="646"/>
      <c r="DR58" s="646"/>
      <c r="DS58" s="646"/>
      <c r="DT58" s="646"/>
      <c r="DU58" s="646"/>
      <c r="DV58" s="646"/>
      <c r="DW58" s="646"/>
      <c r="DX58" s="646"/>
      <c r="DY58" s="646"/>
      <c r="DZ58" s="646"/>
      <c r="EA58" s="646"/>
      <c r="EB58" s="646"/>
      <c r="EC58" s="646"/>
      <c r="ED58" s="646"/>
      <c r="EE58" s="646"/>
      <c r="EF58" s="646"/>
      <c r="EG58" s="699"/>
      <c r="EH58" s="201"/>
      <c r="EI58" s="201"/>
      <c r="EJ58" s="201"/>
      <c r="EK58" s="584">
        <f>社会性等!AH51</f>
        <v>10</v>
      </c>
      <c r="EL58" s="585"/>
      <c r="EM58" s="585"/>
      <c r="EN58" s="585"/>
      <c r="EO58" s="585"/>
      <c r="EP58" s="586"/>
    </row>
    <row r="59" spans="2:146" ht="10.5" customHeight="1" x14ac:dyDescent="0.15">
      <c r="B59" s="599" t="s">
        <v>165</v>
      </c>
      <c r="C59" s="594"/>
      <c r="D59" s="594"/>
      <c r="E59" s="594"/>
      <c r="F59" s="594"/>
      <c r="G59" s="594"/>
      <c r="H59" s="594"/>
      <c r="I59" s="594"/>
      <c r="J59" s="594"/>
      <c r="K59" s="594"/>
      <c r="L59" s="594"/>
      <c r="M59" s="595"/>
      <c r="N59" s="573">
        <f>'経営状況・自己資本額、平均利益額'!D54</f>
        <v>314785</v>
      </c>
      <c r="O59" s="574"/>
      <c r="P59" s="574"/>
      <c r="Q59" s="574"/>
      <c r="R59" s="574"/>
      <c r="S59" s="574"/>
      <c r="T59" s="574"/>
      <c r="U59" s="574"/>
      <c r="V59" s="574"/>
      <c r="W59" s="575"/>
      <c r="X59" s="599" t="s">
        <v>288</v>
      </c>
      <c r="Y59" s="594"/>
      <c r="Z59" s="594"/>
      <c r="AA59" s="594"/>
      <c r="AB59" s="594"/>
      <c r="AC59" s="594"/>
      <c r="AD59" s="594"/>
      <c r="AE59" s="594"/>
      <c r="AF59" s="594"/>
      <c r="AG59" s="594"/>
      <c r="AH59" s="594"/>
      <c r="AI59" s="595"/>
      <c r="AJ59" s="573">
        <f>'経営状況・自己資本額、平均利益額'!G54</f>
        <v>14480</v>
      </c>
      <c r="AK59" s="574"/>
      <c r="AL59" s="574"/>
      <c r="AM59" s="574"/>
      <c r="AN59" s="574"/>
      <c r="AO59" s="574"/>
      <c r="AP59" s="574"/>
      <c r="AQ59" s="574"/>
      <c r="AR59" s="574"/>
      <c r="AS59" s="575"/>
      <c r="BT59" s="192"/>
      <c r="BU59" s="192"/>
      <c r="BV59" s="192"/>
      <c r="BW59" s="192"/>
      <c r="BX59" s="192"/>
      <c r="BY59" s="192"/>
      <c r="BZ59" s="192"/>
      <c r="CA59" s="192"/>
      <c r="CB59" s="192"/>
      <c r="CM59" s="190"/>
      <c r="CN59" s="206"/>
      <c r="CO59" s="206"/>
      <c r="CP59" s="206" t="s">
        <v>162</v>
      </c>
      <c r="CQ59" s="206"/>
      <c r="CR59" s="206"/>
      <c r="CS59" s="206"/>
      <c r="CT59" s="206"/>
      <c r="CU59" s="206"/>
      <c r="CV59" s="206"/>
      <c r="CW59" s="206"/>
      <c r="CX59" s="206"/>
      <c r="CY59" s="206"/>
      <c r="CZ59" s="206"/>
      <c r="DA59" s="206"/>
      <c r="DB59" s="206"/>
      <c r="DC59" s="206"/>
      <c r="DD59" s="206"/>
      <c r="DE59" s="206"/>
      <c r="DF59" s="206"/>
      <c r="DG59" s="206"/>
      <c r="DH59" s="206"/>
      <c r="DI59" s="206"/>
      <c r="DJ59" s="206"/>
      <c r="DK59" s="206"/>
      <c r="DL59" s="206"/>
      <c r="DM59" s="206"/>
      <c r="DN59" s="206"/>
      <c r="DO59" s="206"/>
      <c r="DP59" s="206"/>
      <c r="DQ59" s="206"/>
      <c r="DR59" s="206"/>
      <c r="DS59" s="206"/>
      <c r="DT59" s="206"/>
      <c r="DU59" s="206"/>
      <c r="DV59" s="206"/>
      <c r="DW59" s="206"/>
      <c r="DX59" s="206"/>
      <c r="DY59" s="206"/>
      <c r="DZ59" s="206"/>
      <c r="EA59" s="206" t="s">
        <v>167</v>
      </c>
      <c r="EB59" s="206"/>
      <c r="EC59" s="206"/>
      <c r="ED59" s="206"/>
      <c r="EE59" s="206"/>
      <c r="EF59" s="206"/>
      <c r="EG59" s="206"/>
      <c r="EH59" s="206"/>
      <c r="EI59" s="206"/>
      <c r="EJ59" s="206"/>
      <c r="EK59" s="598">
        <f>社会性等!AH52</f>
        <v>0</v>
      </c>
      <c r="EL59" s="574"/>
      <c r="EM59" s="574"/>
      <c r="EN59" s="574"/>
      <c r="EO59" s="574"/>
      <c r="EP59" s="575"/>
    </row>
    <row r="60" spans="2:146" ht="10.5" customHeight="1" x14ac:dyDescent="0.15">
      <c r="B60" s="599" t="s">
        <v>166</v>
      </c>
      <c r="C60" s="594"/>
      <c r="D60" s="594"/>
      <c r="E60" s="594"/>
      <c r="F60" s="594"/>
      <c r="G60" s="594"/>
      <c r="H60" s="594"/>
      <c r="I60" s="594"/>
      <c r="J60" s="594"/>
      <c r="K60" s="594"/>
      <c r="L60" s="594"/>
      <c r="M60" s="595"/>
      <c r="N60" s="573">
        <f>'経営状況・自己資本額、平均利益額'!D55</f>
        <v>256753</v>
      </c>
      <c r="O60" s="574"/>
      <c r="P60" s="574"/>
      <c r="Q60" s="574"/>
      <c r="R60" s="574"/>
      <c r="S60" s="574"/>
      <c r="T60" s="574"/>
      <c r="U60" s="574"/>
      <c r="V60" s="574"/>
      <c r="W60" s="575"/>
      <c r="X60" s="599" t="s">
        <v>289</v>
      </c>
      <c r="Y60" s="594"/>
      <c r="Z60" s="594"/>
      <c r="AA60" s="594"/>
      <c r="AB60" s="594"/>
      <c r="AC60" s="594"/>
      <c r="AD60" s="594"/>
      <c r="AE60" s="594"/>
      <c r="AF60" s="594"/>
      <c r="AG60" s="594"/>
      <c r="AH60" s="594"/>
      <c r="AI60" s="595"/>
      <c r="AJ60" s="573">
        <f>'経営状況・自己資本額、平均利益額'!G55</f>
        <v>20957</v>
      </c>
      <c r="AK60" s="574"/>
      <c r="AL60" s="574"/>
      <c r="AM60" s="574"/>
      <c r="AN60" s="574"/>
      <c r="AO60" s="574"/>
      <c r="AP60" s="574"/>
      <c r="AQ60" s="574"/>
      <c r="AR60" s="574"/>
      <c r="AS60" s="575"/>
      <c r="BY60" s="185"/>
      <c r="BZ60" s="382" t="s">
        <v>175</v>
      </c>
      <c r="CA60" s="382"/>
      <c r="CB60" s="382"/>
      <c r="CC60" s="382"/>
      <c r="CD60" s="382"/>
      <c r="CE60" s="382"/>
      <c r="CF60" s="382"/>
      <c r="CG60" s="382"/>
      <c r="CH60" s="382"/>
      <c r="CI60" s="382"/>
      <c r="CJ60" s="382"/>
      <c r="CK60" s="382"/>
    </row>
    <row r="61" spans="2:146" ht="10.5" customHeight="1" x14ac:dyDescent="0.15">
      <c r="BY61" s="185"/>
      <c r="CA61" s="187"/>
    </row>
    <row r="67" spans="90:90" ht="10.5" customHeight="1" x14ac:dyDescent="0.15">
      <c r="CL67" s="382"/>
    </row>
  </sheetData>
  <sheetProtection algorithmName="SHA-512" hashValue="OZCM1BNAHJbUMFjbwLbwMdOxpGrPlrBXjLAm0fQL1fnPwrSnoNbW9e/JnCmpHRM9O2vzxUwSsoMEVD9pTZ903A==" saltValue="3QnIXhO5y5pz8Fvq1TaVBw==" spinCount="100000" sheet="1" objects="1" scenarios="1" selectLockedCells="1"/>
  <mergeCells count="650">
    <mergeCell ref="CA43:CE43"/>
    <mergeCell ref="BQ39:BU39"/>
    <mergeCell ref="BL36:BP36"/>
    <mergeCell ref="BL37:BP37"/>
    <mergeCell ref="CF41:CK41"/>
    <mergeCell ref="BQ41:BU41"/>
    <mergeCell ref="CF38:CK38"/>
    <mergeCell ref="CA37:CE37"/>
    <mergeCell ref="CA38:CE38"/>
    <mergeCell ref="CA39:CE39"/>
    <mergeCell ref="CF36:CK36"/>
    <mergeCell ref="BV36:BZ36"/>
    <mergeCell ref="BQ36:BU36"/>
    <mergeCell ref="CA36:CE36"/>
    <mergeCell ref="CA41:CE41"/>
    <mergeCell ref="BV41:BZ41"/>
    <mergeCell ref="BQ38:BU38"/>
    <mergeCell ref="B59:M59"/>
    <mergeCell ref="B60:M60"/>
    <mergeCell ref="B53:M53"/>
    <mergeCell ref="B54:M54"/>
    <mergeCell ref="B55:M55"/>
    <mergeCell ref="B56:M56"/>
    <mergeCell ref="B57:M57"/>
    <mergeCell ref="B58:M58"/>
    <mergeCell ref="CF39:CK39"/>
    <mergeCell ref="AL40:AQ40"/>
    <mergeCell ref="BQ40:BU40"/>
    <mergeCell ref="B40:C40"/>
    <mergeCell ref="V40:AA40"/>
    <mergeCell ref="AB40:AK40"/>
    <mergeCell ref="B39:C39"/>
    <mergeCell ref="V39:AA39"/>
    <mergeCell ref="D42:U42"/>
    <mergeCell ref="B42:C42"/>
    <mergeCell ref="D41:U41"/>
    <mergeCell ref="B41:C41"/>
    <mergeCell ref="V41:AA41"/>
    <mergeCell ref="D40:U40"/>
    <mergeCell ref="D39:U39"/>
    <mergeCell ref="V42:AA42"/>
    <mergeCell ref="BV22:BZ22"/>
    <mergeCell ref="BV23:BZ23"/>
    <mergeCell ref="CA23:CE23"/>
    <mergeCell ref="AR28:BA28"/>
    <mergeCell ref="CA25:CE25"/>
    <mergeCell ref="D1:V2"/>
    <mergeCell ref="D3:V4"/>
    <mergeCell ref="BB42:BF42"/>
    <mergeCell ref="BB40:BF40"/>
    <mergeCell ref="AR42:BA42"/>
    <mergeCell ref="CA42:CE42"/>
    <mergeCell ref="BV40:BZ40"/>
    <mergeCell ref="BQ42:BU42"/>
    <mergeCell ref="BV42:BZ42"/>
    <mergeCell ref="V14:AA17"/>
    <mergeCell ref="BA10:BT10"/>
    <mergeCell ref="BX6:BY6"/>
    <mergeCell ref="V18:AA18"/>
    <mergeCell ref="V20:AA20"/>
    <mergeCell ref="CC10:CK10"/>
    <mergeCell ref="Z11:AA11"/>
    <mergeCell ref="BA9:BT9"/>
    <mergeCell ref="D5:E5"/>
    <mergeCell ref="F5:O5"/>
    <mergeCell ref="BQ35:BU35"/>
    <mergeCell ref="CF34:CK34"/>
    <mergeCell ref="BV35:BZ35"/>
    <mergeCell ref="CA35:CE35"/>
    <mergeCell ref="BV33:BZ33"/>
    <mergeCell ref="BB33:BF33"/>
    <mergeCell ref="BH33:BJ33"/>
    <mergeCell ref="BH34:BJ34"/>
    <mergeCell ref="BH35:BJ35"/>
    <mergeCell ref="BV34:BZ34"/>
    <mergeCell ref="CA34:CE34"/>
    <mergeCell ref="CA33:CE33"/>
    <mergeCell ref="BQ34:BU34"/>
    <mergeCell ref="BB34:BF34"/>
    <mergeCell ref="BB35:BF35"/>
    <mergeCell ref="BQ33:BU33"/>
    <mergeCell ref="BL33:BP33"/>
    <mergeCell ref="BL34:BP34"/>
    <mergeCell ref="BL35:BP35"/>
    <mergeCell ref="BV24:BZ24"/>
    <mergeCell ref="BV27:BZ27"/>
    <mergeCell ref="BQ31:BU31"/>
    <mergeCell ref="BQ32:BU32"/>
    <mergeCell ref="CA32:CE32"/>
    <mergeCell ref="BV31:BZ31"/>
    <mergeCell ref="BV32:BZ32"/>
    <mergeCell ref="CN25:DZ25"/>
    <mergeCell ref="BB32:BF32"/>
    <mergeCell ref="BB31:BF31"/>
    <mergeCell ref="CF32:CK32"/>
    <mergeCell ref="CF31:CK31"/>
    <mergeCell ref="CN27:DZ27"/>
    <mergeCell ref="AR17:BA17"/>
    <mergeCell ref="BH36:BJ36"/>
    <mergeCell ref="BH37:BJ37"/>
    <mergeCell ref="BH38:BJ38"/>
    <mergeCell ref="BH40:BJ40"/>
    <mergeCell ref="BH41:BJ41"/>
    <mergeCell ref="BL24:BP24"/>
    <mergeCell ref="BL25:BP25"/>
    <mergeCell ref="BL26:BP26"/>
    <mergeCell ref="BL27:BP27"/>
    <mergeCell ref="BL28:BP28"/>
    <mergeCell ref="BL29:BP29"/>
    <mergeCell ref="BG31:BK31"/>
    <mergeCell ref="BH32:BJ32"/>
    <mergeCell ref="BL32:BP32"/>
    <mergeCell ref="BH26:BJ26"/>
    <mergeCell ref="BL17:BP17"/>
    <mergeCell ref="BL18:BP18"/>
    <mergeCell ref="BL19:BP19"/>
    <mergeCell ref="BL20:BP20"/>
    <mergeCell ref="BL21:BP21"/>
    <mergeCell ref="BL22:BP22"/>
    <mergeCell ref="BL40:BP40"/>
    <mergeCell ref="BL41:BP41"/>
    <mergeCell ref="CF23:CK23"/>
    <mergeCell ref="CF24:CK24"/>
    <mergeCell ref="CA24:CE24"/>
    <mergeCell ref="CN24:DZ24"/>
    <mergeCell ref="CN56:DZ56"/>
    <mergeCell ref="CM52:EG52"/>
    <mergeCell ref="EI53:EJ53"/>
    <mergeCell ref="CN53:DZ53"/>
    <mergeCell ref="EA25:EJ25"/>
    <mergeCell ref="CM41:EG41"/>
    <mergeCell ref="CN40:DZ40"/>
    <mergeCell ref="EA40:EJ40"/>
    <mergeCell ref="CF37:CK37"/>
    <mergeCell ref="CF40:CK40"/>
    <mergeCell ref="CF33:CK33"/>
    <mergeCell ref="CF35:CK35"/>
    <mergeCell ref="CC54:CK54"/>
    <mergeCell ref="CC55:CK55"/>
    <mergeCell ref="CN29:DZ29"/>
    <mergeCell ref="CN30:DZ30"/>
    <mergeCell ref="CN31:DZ31"/>
    <mergeCell ref="CN28:DZ28"/>
    <mergeCell ref="CN34:DZ34"/>
    <mergeCell ref="CN35:DZ35"/>
    <mergeCell ref="CA22:CE22"/>
    <mergeCell ref="CF22:CK22"/>
    <mergeCell ref="CF19:CK19"/>
    <mergeCell ref="CC12:CK12"/>
    <mergeCell ref="CA21:CE21"/>
    <mergeCell ref="CF17:CK17"/>
    <mergeCell ref="CF21:CK21"/>
    <mergeCell ref="CF18:CK18"/>
    <mergeCell ref="DY12:DZ12"/>
    <mergeCell ref="CA20:CE20"/>
    <mergeCell ref="CM58:EG58"/>
    <mergeCell ref="EA57:EJ57"/>
    <mergeCell ref="CM54:EG54"/>
    <mergeCell ref="EA56:EJ56"/>
    <mergeCell ref="CF46:CK46"/>
    <mergeCell ref="CN42:DZ42"/>
    <mergeCell ref="EA42:EJ42"/>
    <mergeCell ref="EA44:EJ44"/>
    <mergeCell ref="CN49:DZ49"/>
    <mergeCell ref="CF42:CK42"/>
    <mergeCell ref="EA48:EJ48"/>
    <mergeCell ref="CM46:EG46"/>
    <mergeCell ref="CN48:DZ48"/>
    <mergeCell ref="CF49:CK49"/>
    <mergeCell ref="CF47:CK47"/>
    <mergeCell ref="EA45:EJ45"/>
    <mergeCell ref="CN45:DZ45"/>
    <mergeCell ref="CM43:EG43"/>
    <mergeCell ref="CF43:CK43"/>
    <mergeCell ref="EA51:EJ51"/>
    <mergeCell ref="EA49:EJ49"/>
    <mergeCell ref="CN55:DZ55"/>
    <mergeCell ref="EK14:EP14"/>
    <mergeCell ref="EK15:EP16"/>
    <mergeCell ref="EA17:EJ17"/>
    <mergeCell ref="CM14:DZ14"/>
    <mergeCell ref="EA24:EJ24"/>
    <mergeCell ref="CM15:DZ16"/>
    <mergeCell ref="EA18:EJ18"/>
    <mergeCell ref="EA20:EJ20"/>
    <mergeCell ref="EA23:EJ23"/>
    <mergeCell ref="CM20:DZ20"/>
    <mergeCell ref="CN23:DZ23"/>
    <mergeCell ref="EA15:EJ16"/>
    <mergeCell ref="EK18:EP18"/>
    <mergeCell ref="EK17:EP17"/>
    <mergeCell ref="EK20:EP20"/>
    <mergeCell ref="EA14:EJ14"/>
    <mergeCell ref="CM17:DZ17"/>
    <mergeCell ref="CN22:DZ22"/>
    <mergeCell ref="CN21:DZ21"/>
    <mergeCell ref="EA21:EJ21"/>
    <mergeCell ref="EA22:EJ22"/>
    <mergeCell ref="BV21:BZ21"/>
    <mergeCell ref="CF20:CK20"/>
    <mergeCell ref="CM11:DX11"/>
    <mergeCell ref="BB18:BF18"/>
    <mergeCell ref="CN26:DZ26"/>
    <mergeCell ref="CF50:CK50"/>
    <mergeCell ref="CN39:DZ39"/>
    <mergeCell ref="BQ20:BU20"/>
    <mergeCell ref="CM18:DZ18"/>
    <mergeCell ref="CA40:CE40"/>
    <mergeCell ref="BA11:BT11"/>
    <mergeCell ref="CC11:CK11"/>
    <mergeCell ref="BQ22:BU22"/>
    <mergeCell ref="BQ23:BU23"/>
    <mergeCell ref="BB22:BF22"/>
    <mergeCell ref="AR22:BA22"/>
    <mergeCell ref="AR23:BA23"/>
    <mergeCell ref="BL23:BP23"/>
    <mergeCell ref="BQ24:BU24"/>
    <mergeCell ref="AR32:BA32"/>
    <mergeCell ref="AR43:BA43"/>
    <mergeCell ref="BH44:BJ44"/>
    <mergeCell ref="BL38:BP38"/>
    <mergeCell ref="BV38:BZ38"/>
    <mergeCell ref="BQ21:BU21"/>
    <mergeCell ref="AB19:AK19"/>
    <mergeCell ref="BH18:BJ18"/>
    <mergeCell ref="AY2:CF2"/>
    <mergeCell ref="BZ6:CA6"/>
    <mergeCell ref="CB6:CC6"/>
    <mergeCell ref="BJ6:BQ6"/>
    <mergeCell ref="BR6:BS6"/>
    <mergeCell ref="BA8:BT8"/>
    <mergeCell ref="AY3:CF3"/>
    <mergeCell ref="BS5:BU5"/>
    <mergeCell ref="BW5:CA5"/>
    <mergeCell ref="CB5:CC5"/>
    <mergeCell ref="BT6:BU6"/>
    <mergeCell ref="AB14:AQ14"/>
    <mergeCell ref="BB21:BF21"/>
    <mergeCell ref="AR18:BA18"/>
    <mergeCell ref="BB17:BF17"/>
    <mergeCell ref="AR15:BA16"/>
    <mergeCell ref="BQ18:BU18"/>
    <mergeCell ref="BG17:BK17"/>
    <mergeCell ref="AL17:AQ17"/>
    <mergeCell ref="AR14:CK14"/>
    <mergeCell ref="BV18:BZ18"/>
    <mergeCell ref="BV20:BZ20"/>
    <mergeCell ref="AL15:AQ16"/>
    <mergeCell ref="V19:AA19"/>
    <mergeCell ref="BV6:BW6"/>
    <mergeCell ref="BQ19:BU19"/>
    <mergeCell ref="BA12:BT12"/>
    <mergeCell ref="BB15:CE16"/>
    <mergeCell ref="CA8:CK8"/>
    <mergeCell ref="CC9:CK9"/>
    <mergeCell ref="CF15:CK16"/>
    <mergeCell ref="CA19:CE19"/>
    <mergeCell ref="AR19:BA19"/>
    <mergeCell ref="BQ17:BU17"/>
    <mergeCell ref="BV17:BZ17"/>
    <mergeCell ref="BV19:BZ19"/>
    <mergeCell ref="AB15:AK17"/>
    <mergeCell ref="CA18:CE18"/>
    <mergeCell ref="CA17:CE17"/>
    <mergeCell ref="AB18:AK18"/>
    <mergeCell ref="D9:Y9"/>
    <mergeCell ref="D7:Y7"/>
    <mergeCell ref="D6:Y6"/>
    <mergeCell ref="BB19:BF19"/>
    <mergeCell ref="D11:Y11"/>
    <mergeCell ref="B14:C17"/>
    <mergeCell ref="D14:U17"/>
    <mergeCell ref="AL18:AQ18"/>
    <mergeCell ref="AL19:AQ19"/>
    <mergeCell ref="B22:C22"/>
    <mergeCell ref="V22:AA22"/>
    <mergeCell ref="AB22:AK22"/>
    <mergeCell ref="AL22:AQ22"/>
    <mergeCell ref="B21:C21"/>
    <mergeCell ref="D21:U21"/>
    <mergeCell ref="AB21:AK21"/>
    <mergeCell ref="AB20:AK20"/>
    <mergeCell ref="AL20:AQ20"/>
    <mergeCell ref="D22:U22"/>
    <mergeCell ref="D20:U20"/>
    <mergeCell ref="B18:C19"/>
    <mergeCell ref="B20:C20"/>
    <mergeCell ref="D18:U18"/>
    <mergeCell ref="E19:U19"/>
    <mergeCell ref="V21:AA21"/>
    <mergeCell ref="AL21:AQ21"/>
    <mergeCell ref="BH20:BJ20"/>
    <mergeCell ref="BH21:BJ21"/>
    <mergeCell ref="BH22:BJ22"/>
    <mergeCell ref="BG19:BK19"/>
    <mergeCell ref="AR24:BA24"/>
    <mergeCell ref="BB23:BF23"/>
    <mergeCell ref="BB24:BF24"/>
    <mergeCell ref="BG24:BK24"/>
    <mergeCell ref="BH23:BJ23"/>
    <mergeCell ref="AR20:BA20"/>
    <mergeCell ref="BB20:BF20"/>
    <mergeCell ref="AR21:BA21"/>
    <mergeCell ref="B26:C26"/>
    <mergeCell ref="V26:AA26"/>
    <mergeCell ref="B25:C25"/>
    <mergeCell ref="V25:AA25"/>
    <mergeCell ref="AB25:AK25"/>
    <mergeCell ref="BB26:BF26"/>
    <mergeCell ref="AL25:AQ25"/>
    <mergeCell ref="D25:U25"/>
    <mergeCell ref="B23:C24"/>
    <mergeCell ref="V23:AA23"/>
    <mergeCell ref="AB23:AK23"/>
    <mergeCell ref="AL23:AQ23"/>
    <mergeCell ref="V24:AA24"/>
    <mergeCell ref="E24:U24"/>
    <mergeCell ref="AB24:AK24"/>
    <mergeCell ref="AL24:AQ24"/>
    <mergeCell ref="AB26:AK26"/>
    <mergeCell ref="D23:U23"/>
    <mergeCell ref="B27:C27"/>
    <mergeCell ref="B28:C28"/>
    <mergeCell ref="V28:AA28"/>
    <mergeCell ref="AL26:AQ26"/>
    <mergeCell ref="CF25:CK25"/>
    <mergeCell ref="BQ25:BU25"/>
    <mergeCell ref="AR25:BA25"/>
    <mergeCell ref="CA26:CE26"/>
    <mergeCell ref="BB25:BF25"/>
    <mergeCell ref="BV25:BZ25"/>
    <mergeCell ref="D26:U26"/>
    <mergeCell ref="AR26:BA26"/>
    <mergeCell ref="AL27:AQ27"/>
    <mergeCell ref="AR27:BA27"/>
    <mergeCell ref="BQ27:BU27"/>
    <mergeCell ref="D27:U27"/>
    <mergeCell ref="BV26:BZ26"/>
    <mergeCell ref="BQ26:BU26"/>
    <mergeCell ref="BH25:BJ25"/>
    <mergeCell ref="V27:AA27"/>
    <mergeCell ref="CF26:CK26"/>
    <mergeCell ref="CA27:CE27"/>
    <mergeCell ref="BB27:BF27"/>
    <mergeCell ref="BB28:BF28"/>
    <mergeCell ref="AL28:AQ28"/>
    <mergeCell ref="AB27:AK27"/>
    <mergeCell ref="BQ28:BU28"/>
    <mergeCell ref="CF30:CK30"/>
    <mergeCell ref="D29:U29"/>
    <mergeCell ref="CF28:CK28"/>
    <mergeCell ref="CA28:CE28"/>
    <mergeCell ref="BB29:BF29"/>
    <mergeCell ref="BB30:BF30"/>
    <mergeCell ref="BQ30:BU30"/>
    <mergeCell ref="BV28:BZ28"/>
    <mergeCell ref="AB28:AK28"/>
    <mergeCell ref="CA29:CE29"/>
    <mergeCell ref="D28:U28"/>
    <mergeCell ref="AR30:BA30"/>
    <mergeCell ref="BH27:BJ27"/>
    <mergeCell ref="BH28:BJ28"/>
    <mergeCell ref="BH29:BJ29"/>
    <mergeCell ref="CF27:CK27"/>
    <mergeCell ref="B29:C29"/>
    <mergeCell ref="AB29:AK29"/>
    <mergeCell ref="BV29:BZ29"/>
    <mergeCell ref="CF29:CK29"/>
    <mergeCell ref="AR29:BA29"/>
    <mergeCell ref="AL29:AQ29"/>
    <mergeCell ref="V29:AA29"/>
    <mergeCell ref="BQ29:BU29"/>
    <mergeCell ref="E31:U31"/>
    <mergeCell ref="V31:AA31"/>
    <mergeCell ref="AB31:AK31"/>
    <mergeCell ref="AL30:AQ30"/>
    <mergeCell ref="AL31:AQ31"/>
    <mergeCell ref="CA30:CE30"/>
    <mergeCell ref="BH30:BJ30"/>
    <mergeCell ref="BL30:BP30"/>
    <mergeCell ref="BL31:BP31"/>
    <mergeCell ref="CA31:CE31"/>
    <mergeCell ref="B30:C31"/>
    <mergeCell ref="V30:AA30"/>
    <mergeCell ref="AB30:AK30"/>
    <mergeCell ref="D30:U30"/>
    <mergeCell ref="AR31:BA31"/>
    <mergeCell ref="BV30:BZ30"/>
    <mergeCell ref="AL33:AQ33"/>
    <mergeCell ref="AL32:AQ32"/>
    <mergeCell ref="V32:AA32"/>
    <mergeCell ref="AR33:BA33"/>
    <mergeCell ref="AB32:AK32"/>
    <mergeCell ref="AB33:AK33"/>
    <mergeCell ref="V34:AA34"/>
    <mergeCell ref="AR34:BA34"/>
    <mergeCell ref="AB34:AK34"/>
    <mergeCell ref="AL34:AQ34"/>
    <mergeCell ref="B35:C35"/>
    <mergeCell ref="V35:AA35"/>
    <mergeCell ref="AB35:AK35"/>
    <mergeCell ref="B36:C36"/>
    <mergeCell ref="V36:AA36"/>
    <mergeCell ref="D33:U33"/>
    <mergeCell ref="B32:C32"/>
    <mergeCell ref="D34:U34"/>
    <mergeCell ref="B33:C33"/>
    <mergeCell ref="B34:C34"/>
    <mergeCell ref="D32:U32"/>
    <mergeCell ref="V33:AA33"/>
    <mergeCell ref="B37:C37"/>
    <mergeCell ref="V37:AA37"/>
    <mergeCell ref="AB37:AK37"/>
    <mergeCell ref="AL37:AQ37"/>
    <mergeCell ref="D37:U37"/>
    <mergeCell ref="AB36:AK36"/>
    <mergeCell ref="AL35:AQ35"/>
    <mergeCell ref="BH39:BJ39"/>
    <mergeCell ref="BV39:BZ39"/>
    <mergeCell ref="BL39:BP39"/>
    <mergeCell ref="AB38:AK38"/>
    <mergeCell ref="AL38:AQ38"/>
    <mergeCell ref="BQ37:BU37"/>
    <mergeCell ref="BV37:BZ37"/>
    <mergeCell ref="BB37:BF37"/>
    <mergeCell ref="BB36:BF36"/>
    <mergeCell ref="AR37:BA37"/>
    <mergeCell ref="AR36:BA36"/>
    <mergeCell ref="AR39:BA39"/>
    <mergeCell ref="AL39:AQ39"/>
    <mergeCell ref="AR35:BA35"/>
    <mergeCell ref="D35:U35"/>
    <mergeCell ref="AL36:AQ36"/>
    <mergeCell ref="D36:U36"/>
    <mergeCell ref="AB41:AK41"/>
    <mergeCell ref="BB38:BF38"/>
    <mergeCell ref="V38:AA38"/>
    <mergeCell ref="D38:U38"/>
    <mergeCell ref="B38:C38"/>
    <mergeCell ref="BB39:BF39"/>
    <mergeCell ref="BH43:BJ43"/>
    <mergeCell ref="AR41:BA41"/>
    <mergeCell ref="BB41:BF41"/>
    <mergeCell ref="AL41:AQ41"/>
    <mergeCell ref="AR40:BA40"/>
    <mergeCell ref="AB39:AK39"/>
    <mergeCell ref="AR38:BA38"/>
    <mergeCell ref="B44:C44"/>
    <mergeCell ref="B43:C43"/>
    <mergeCell ref="D43:U43"/>
    <mergeCell ref="AL43:AQ43"/>
    <mergeCell ref="AB42:AK42"/>
    <mergeCell ref="D44:U44"/>
    <mergeCell ref="BV43:BZ43"/>
    <mergeCell ref="BQ43:BU43"/>
    <mergeCell ref="V43:AA43"/>
    <mergeCell ref="BB43:BF43"/>
    <mergeCell ref="BH42:BJ42"/>
    <mergeCell ref="AR44:BA44"/>
    <mergeCell ref="AL42:AQ42"/>
    <mergeCell ref="AB43:AK43"/>
    <mergeCell ref="BL42:BP42"/>
    <mergeCell ref="BL43:BP43"/>
    <mergeCell ref="BL44:BP44"/>
    <mergeCell ref="AB45:AK45"/>
    <mergeCell ref="AL45:AQ45"/>
    <mergeCell ref="CF44:CK44"/>
    <mergeCell ref="V44:AA44"/>
    <mergeCell ref="BQ44:BU44"/>
    <mergeCell ref="AB44:AK44"/>
    <mergeCell ref="CA44:CE44"/>
    <mergeCell ref="D45:U45"/>
    <mergeCell ref="BV44:BZ44"/>
    <mergeCell ref="AR45:BA45"/>
    <mergeCell ref="BB44:BF44"/>
    <mergeCell ref="AL44:AQ44"/>
    <mergeCell ref="BH45:BJ45"/>
    <mergeCell ref="BL45:BP45"/>
    <mergeCell ref="B47:C47"/>
    <mergeCell ref="V47:AA47"/>
    <mergeCell ref="AB47:AK47"/>
    <mergeCell ref="B46:C46"/>
    <mergeCell ref="B50:C50"/>
    <mergeCell ref="D48:U48"/>
    <mergeCell ref="CA46:CE46"/>
    <mergeCell ref="BV45:BZ45"/>
    <mergeCell ref="BQ45:BU45"/>
    <mergeCell ref="AB46:AK46"/>
    <mergeCell ref="AL46:AQ46"/>
    <mergeCell ref="B45:C45"/>
    <mergeCell ref="V45:AA45"/>
    <mergeCell ref="BV46:BZ46"/>
    <mergeCell ref="BV47:BZ47"/>
    <mergeCell ref="AL47:AQ47"/>
    <mergeCell ref="AR47:BA47"/>
    <mergeCell ref="BB47:BF47"/>
    <mergeCell ref="D47:U47"/>
    <mergeCell ref="BB45:BF45"/>
    <mergeCell ref="BQ46:BU46"/>
    <mergeCell ref="BH47:BJ47"/>
    <mergeCell ref="BL46:BP46"/>
    <mergeCell ref="BL47:BP47"/>
    <mergeCell ref="B48:C48"/>
    <mergeCell ref="V48:AA48"/>
    <mergeCell ref="AB48:AK48"/>
    <mergeCell ref="BB49:BF49"/>
    <mergeCell ref="V50:AA50"/>
    <mergeCell ref="BG50:BK50"/>
    <mergeCell ref="AL49:AQ49"/>
    <mergeCell ref="AR49:BA49"/>
    <mergeCell ref="AR50:BA50"/>
    <mergeCell ref="B49:C49"/>
    <mergeCell ref="D49:U49"/>
    <mergeCell ref="V49:AA49"/>
    <mergeCell ref="BH48:BJ48"/>
    <mergeCell ref="BH49:BJ49"/>
    <mergeCell ref="AB50:AK50"/>
    <mergeCell ref="AR48:BA48"/>
    <mergeCell ref="BB48:BF48"/>
    <mergeCell ref="AB49:AK49"/>
    <mergeCell ref="D46:U46"/>
    <mergeCell ref="AR46:BA46"/>
    <mergeCell ref="BB46:BF46"/>
    <mergeCell ref="V46:AA46"/>
    <mergeCell ref="BL51:BP51"/>
    <mergeCell ref="BL48:BP48"/>
    <mergeCell ref="BL49:BP49"/>
    <mergeCell ref="BL50:BP50"/>
    <mergeCell ref="BV48:BZ48"/>
    <mergeCell ref="BV49:BZ49"/>
    <mergeCell ref="BQ48:BU48"/>
    <mergeCell ref="BQ49:BU49"/>
    <mergeCell ref="CA47:CE47"/>
    <mergeCell ref="D51:AA51"/>
    <mergeCell ref="AB51:AK51"/>
    <mergeCell ref="BQ51:BU51"/>
    <mergeCell ref="BV51:BZ51"/>
    <mergeCell ref="CA51:CE51"/>
    <mergeCell ref="AR51:BA51"/>
    <mergeCell ref="BH51:BJ51"/>
    <mergeCell ref="BB51:BF51"/>
    <mergeCell ref="D50:U50"/>
    <mergeCell ref="CA49:CE49"/>
    <mergeCell ref="DD4:DL5"/>
    <mergeCell ref="CM8:CO8"/>
    <mergeCell ref="CP8:CQ8"/>
    <mergeCell ref="CR8:CS8"/>
    <mergeCell ref="CT8:CU8"/>
    <mergeCell ref="X56:AI56"/>
    <mergeCell ref="AJ58:AS58"/>
    <mergeCell ref="AJ57:AS57"/>
    <mergeCell ref="CM12:DX12"/>
    <mergeCell ref="CZ8:DA8"/>
    <mergeCell ref="BQ47:BU47"/>
    <mergeCell ref="AL50:AQ50"/>
    <mergeCell ref="CM10:DX10"/>
    <mergeCell ref="BB50:BF50"/>
    <mergeCell ref="CA45:CE45"/>
    <mergeCell ref="CF45:CK45"/>
    <mergeCell ref="CF48:CK48"/>
    <mergeCell ref="BV50:BZ50"/>
    <mergeCell ref="CX8:CY8"/>
    <mergeCell ref="BQ50:BU50"/>
    <mergeCell ref="AL48:AQ48"/>
    <mergeCell ref="CA48:CE48"/>
    <mergeCell ref="CA50:CE50"/>
    <mergeCell ref="BH46:BJ46"/>
    <mergeCell ref="N53:W53"/>
    <mergeCell ref="AJ53:AS53"/>
    <mergeCell ref="AJ56:AS56"/>
    <mergeCell ref="N57:W57"/>
    <mergeCell ref="N55:W55"/>
    <mergeCell ref="N60:W60"/>
    <mergeCell ref="AJ60:AS60"/>
    <mergeCell ref="N56:W56"/>
    <mergeCell ref="AT58:CB58"/>
    <mergeCell ref="AT56:BF56"/>
    <mergeCell ref="N59:W59"/>
    <mergeCell ref="AJ59:AS59"/>
    <mergeCell ref="X57:AI57"/>
    <mergeCell ref="X59:AI59"/>
    <mergeCell ref="AJ55:AS55"/>
    <mergeCell ref="AT54:BF54"/>
    <mergeCell ref="AT53:BF53"/>
    <mergeCell ref="BG55:BO55"/>
    <mergeCell ref="AT55:BF55"/>
    <mergeCell ref="BP53:CB53"/>
    <mergeCell ref="N58:W58"/>
    <mergeCell ref="AJ54:AS54"/>
    <mergeCell ref="N54:W54"/>
    <mergeCell ref="X60:AI60"/>
    <mergeCell ref="EK58:EP58"/>
    <mergeCell ref="EK54:EP54"/>
    <mergeCell ref="CN57:DZ57"/>
    <mergeCell ref="CN32:DZ32"/>
    <mergeCell ref="CN37:DZ37"/>
    <mergeCell ref="EA37:EJ37"/>
    <mergeCell ref="EK59:EP59"/>
    <mergeCell ref="AT57:BF57"/>
    <mergeCell ref="X55:AI55"/>
    <mergeCell ref="X58:AI58"/>
    <mergeCell ref="X53:AI53"/>
    <mergeCell ref="X54:AI54"/>
    <mergeCell ref="BG53:BO53"/>
    <mergeCell ref="BG54:BO54"/>
    <mergeCell ref="CC56:CK56"/>
    <mergeCell ref="CC57:CK57"/>
    <mergeCell ref="CC58:CK58"/>
    <mergeCell ref="BG56:BO56"/>
    <mergeCell ref="BG57:BO57"/>
    <mergeCell ref="BP55:CB55"/>
    <mergeCell ref="BP56:CB56"/>
    <mergeCell ref="BP57:CB57"/>
    <mergeCell ref="BP54:CB54"/>
    <mergeCell ref="CC53:CK53"/>
    <mergeCell ref="EK46:EP46"/>
    <mergeCell ref="EK52:EP52"/>
    <mergeCell ref="CN47:DZ47"/>
    <mergeCell ref="EA47:EJ47"/>
    <mergeCell ref="CM38:EG38"/>
    <mergeCell ref="EK41:EP41"/>
    <mergeCell ref="EK50:EP50"/>
    <mergeCell ref="EK43:EP43"/>
    <mergeCell ref="EA39:EH39"/>
    <mergeCell ref="CN44:DZ44"/>
    <mergeCell ref="EI39:EJ39"/>
    <mergeCell ref="EK38:EP38"/>
    <mergeCell ref="CN51:DZ51"/>
    <mergeCell ref="CM50:EG50"/>
    <mergeCell ref="CV8:CW8"/>
    <mergeCell ref="CN33:DZ33"/>
    <mergeCell ref="EA33:EG33"/>
    <mergeCell ref="EH33:EJ33"/>
    <mergeCell ref="EA53:EH53"/>
    <mergeCell ref="EA55:EJ55"/>
    <mergeCell ref="EA29:EG29"/>
    <mergeCell ref="EH29:EJ29"/>
    <mergeCell ref="EA30:EG30"/>
    <mergeCell ref="EH30:EJ30"/>
    <mergeCell ref="EA31:EG31"/>
    <mergeCell ref="EH31:EJ31"/>
    <mergeCell ref="EA32:EG32"/>
    <mergeCell ref="EH32:EJ32"/>
    <mergeCell ref="EA27:EJ27"/>
    <mergeCell ref="EA28:EJ28"/>
    <mergeCell ref="EA26:EJ26"/>
    <mergeCell ref="CN36:DZ36"/>
    <mergeCell ref="EA34:EJ34"/>
    <mergeCell ref="EA35:EJ35"/>
    <mergeCell ref="EA36:EJ36"/>
  </mergeCells>
  <phoneticPr fontId="2"/>
  <printOptions horizontalCentered="1" verticalCentered="1"/>
  <pageMargins left="0" right="0" top="0.19685039370078741" bottom="0.19685039370078741" header="0" footer="0"/>
  <pageSetup paperSize="9" scale="98" orientation="landscape"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7031" r:id="rId4" name="Drop Down 7">
              <controlPr defaultSize="0" autoLine="0" autoPict="0">
                <anchor moveWithCells="1">
                  <from>
                    <xdr:col>23</xdr:col>
                    <xdr:colOff>9525</xdr:colOff>
                    <xdr:row>0</xdr:row>
                    <xdr:rowOff>38100</xdr:rowOff>
                  </from>
                  <to>
                    <xdr:col>42</xdr:col>
                    <xdr:colOff>0</xdr:colOff>
                    <xdr:row>1</xdr:row>
                    <xdr:rowOff>114300</xdr:rowOff>
                  </to>
                </anchor>
              </controlPr>
            </control>
          </mc:Choice>
        </mc:AlternateContent>
        <mc:AlternateContent xmlns:mc="http://schemas.openxmlformats.org/markup-compatibility/2006">
          <mc:Choice Requires="x14">
            <control shapeId="257032" r:id="rId5" name="Drop Down 8">
              <controlPr defaultSize="0" autoLine="0" autoPict="0">
                <anchor moveWithCells="1">
                  <from>
                    <xdr:col>23</xdr:col>
                    <xdr:colOff>9525</xdr:colOff>
                    <xdr:row>2</xdr:row>
                    <xdr:rowOff>28575</xdr:rowOff>
                  </from>
                  <to>
                    <xdr:col>42</xdr:col>
                    <xdr:colOff>0</xdr:colOff>
                    <xdr:row>3</xdr:row>
                    <xdr:rowOff>95250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pageSetUpPr autoPageBreaks="0" fitToPage="1"/>
  </sheetPr>
  <dimension ref="B2:U43"/>
  <sheetViews>
    <sheetView showGridLines="0" showRowColHeaders="0" workbookViewId="0">
      <pane xSplit="5" ySplit="8" topLeftCell="F9" activePane="bottomRight" state="frozen"/>
      <selection activeCell="W15" sqref="W15"/>
      <selection pane="topRight" activeCell="W15" sqref="W15"/>
      <selection pane="bottomLeft" activeCell="W15" sqref="W15"/>
      <selection pane="bottomRight"/>
    </sheetView>
  </sheetViews>
  <sheetFormatPr defaultColWidth="9" defaultRowHeight="9.9499999999999993" customHeight="1" x14ac:dyDescent="0.15"/>
  <cols>
    <col min="1" max="1" width="2.625" style="23" customWidth="1"/>
    <col min="2" max="2" width="3.625" style="39" customWidth="1"/>
    <col min="3" max="4" width="2.625" style="23" customWidth="1"/>
    <col min="5" max="5" width="15.625" style="23" customWidth="1"/>
    <col min="6" max="6" width="2.625" style="23" customWidth="1"/>
    <col min="7" max="9" width="7.625" style="23" customWidth="1"/>
    <col min="10" max="10" width="2.625" style="23" customWidth="1"/>
    <col min="11" max="13" width="7.625" style="23" customWidth="1"/>
    <col min="14" max="14" width="2.625" style="23" customWidth="1"/>
    <col min="15" max="17" width="7.625" style="23" customWidth="1"/>
    <col min="18" max="18" width="2.625" style="23" customWidth="1"/>
    <col min="19" max="21" width="7.625" style="23" customWidth="1"/>
    <col min="22" max="22" width="2.625" style="23" customWidth="1"/>
    <col min="23" max="16384" width="9" style="23"/>
  </cols>
  <sheetData>
    <row r="2" spans="2:21" ht="15" customHeight="1" x14ac:dyDescent="0.15">
      <c r="B2" s="716" t="s">
        <v>40</v>
      </c>
      <c r="C2" s="717"/>
      <c r="D2" s="717"/>
      <c r="E2" s="718"/>
      <c r="F2" s="42"/>
      <c r="G2" s="710" t="s">
        <v>121</v>
      </c>
      <c r="H2" s="711"/>
      <c r="I2" s="712"/>
      <c r="K2" s="710" t="s">
        <v>121</v>
      </c>
      <c r="L2" s="711"/>
      <c r="M2" s="712"/>
      <c r="O2" s="713" t="s">
        <v>122</v>
      </c>
      <c r="P2" s="714"/>
      <c r="Q2" s="715"/>
      <c r="S2" s="713" t="s">
        <v>122</v>
      </c>
      <c r="T2" s="714"/>
      <c r="U2" s="715"/>
    </row>
    <row r="3" spans="2:21" ht="15" customHeight="1" x14ac:dyDescent="0.15">
      <c r="B3" s="716" t="s">
        <v>43</v>
      </c>
      <c r="C3" s="717"/>
      <c r="D3" s="717"/>
      <c r="E3" s="718"/>
      <c r="F3" s="42"/>
      <c r="G3" s="710" t="s">
        <v>44</v>
      </c>
      <c r="H3" s="711"/>
      <c r="I3" s="712"/>
      <c r="K3" s="713" t="s">
        <v>121</v>
      </c>
      <c r="L3" s="714"/>
      <c r="M3" s="715"/>
      <c r="O3" s="710" t="s">
        <v>44</v>
      </c>
      <c r="P3" s="711"/>
      <c r="Q3" s="712"/>
      <c r="S3" s="713" t="s">
        <v>121</v>
      </c>
      <c r="T3" s="714"/>
      <c r="U3" s="715"/>
    </row>
    <row r="4" spans="2:21" ht="8.1" customHeight="1" x14ac:dyDescent="0.15">
      <c r="C4" s="42"/>
      <c r="D4" s="42"/>
      <c r="E4" s="42"/>
      <c r="F4" s="42"/>
      <c r="G4" s="36"/>
      <c r="H4" s="42"/>
      <c r="I4" s="42"/>
      <c r="J4" s="40"/>
      <c r="K4" s="36"/>
      <c r="L4" s="42"/>
      <c r="M4" s="42"/>
      <c r="N4" s="40"/>
      <c r="O4" s="36"/>
      <c r="P4" s="42"/>
      <c r="Q4" s="42"/>
      <c r="R4" s="40"/>
      <c r="S4" s="43"/>
      <c r="T4" s="44"/>
      <c r="U4" s="44"/>
    </row>
    <row r="5" spans="2:21" ht="15" customHeight="1" x14ac:dyDescent="0.15">
      <c r="B5" s="722"/>
      <c r="C5" s="722"/>
      <c r="D5" s="722"/>
      <c r="E5" s="722"/>
      <c r="F5" s="40"/>
      <c r="G5" s="136" t="s">
        <v>115</v>
      </c>
      <c r="H5" s="136" t="s">
        <v>116</v>
      </c>
      <c r="I5" s="136" t="s">
        <v>117</v>
      </c>
      <c r="K5" s="136" t="s">
        <v>115</v>
      </c>
      <c r="L5" s="136" t="s">
        <v>116</v>
      </c>
      <c r="M5" s="136" t="s">
        <v>117</v>
      </c>
      <c r="O5" s="136" t="s">
        <v>115</v>
      </c>
      <c r="P5" s="136" t="s">
        <v>116</v>
      </c>
      <c r="Q5" s="136" t="s">
        <v>117</v>
      </c>
      <c r="S5" s="136" t="s">
        <v>115</v>
      </c>
      <c r="T5" s="136" t="s">
        <v>116</v>
      </c>
      <c r="U5" s="136" t="s">
        <v>117</v>
      </c>
    </row>
    <row r="6" spans="2:21" ht="15" customHeight="1" x14ac:dyDescent="0.15">
      <c r="B6" s="722"/>
      <c r="C6" s="722"/>
      <c r="D6" s="722"/>
      <c r="E6" s="722"/>
      <c r="F6" s="40"/>
      <c r="G6" s="80">
        <f>'経営状況・自己資本額、平均利益額'!E42</f>
        <v>0</v>
      </c>
      <c r="H6" s="80">
        <f>別表第二!G7</f>
        <v>665</v>
      </c>
      <c r="I6" s="80">
        <f>社会性等!AQ54</f>
        <v>0</v>
      </c>
      <c r="K6" s="80">
        <f>G6</f>
        <v>0</v>
      </c>
      <c r="L6" s="80">
        <f>別表第二!L7</f>
        <v>651</v>
      </c>
      <c r="M6" s="80">
        <f>I6</f>
        <v>0</v>
      </c>
      <c r="O6" s="80">
        <f>G6</f>
        <v>0</v>
      </c>
      <c r="P6" s="80">
        <f>H6</f>
        <v>665</v>
      </c>
      <c r="Q6" s="80">
        <f>社会性等!AR54</f>
        <v>0</v>
      </c>
      <c r="S6" s="80">
        <f>G6</f>
        <v>0</v>
      </c>
      <c r="T6" s="80">
        <f>L6</f>
        <v>651</v>
      </c>
      <c r="U6" s="80">
        <f>Q6</f>
        <v>0</v>
      </c>
    </row>
    <row r="7" spans="2:21" ht="8.1" customHeight="1" x14ac:dyDescent="0.15">
      <c r="F7" s="40"/>
      <c r="G7" s="33"/>
      <c r="H7" s="33"/>
      <c r="I7" s="33"/>
      <c r="J7" s="40"/>
      <c r="K7" s="33"/>
      <c r="L7" s="33"/>
      <c r="M7" s="33"/>
      <c r="O7" s="33"/>
      <c r="P7" s="33"/>
      <c r="Q7" s="33"/>
      <c r="S7" s="33"/>
      <c r="T7" s="33"/>
      <c r="U7" s="33"/>
    </row>
    <row r="8" spans="2:21" s="39" customFormat="1" ht="15" customHeight="1" x14ac:dyDescent="0.15">
      <c r="B8" s="119"/>
      <c r="C8" s="120"/>
      <c r="D8" s="120"/>
      <c r="E8" s="121"/>
      <c r="F8" s="36"/>
      <c r="G8" s="101" t="s">
        <v>180</v>
      </c>
      <c r="H8" s="101" t="s">
        <v>181</v>
      </c>
      <c r="I8" s="101" t="s">
        <v>182</v>
      </c>
      <c r="J8" s="41"/>
      <c r="K8" s="101" t="s">
        <v>180</v>
      </c>
      <c r="L8" s="101" t="s">
        <v>181</v>
      </c>
      <c r="M8" s="101" t="s">
        <v>182</v>
      </c>
      <c r="O8" s="101" t="s">
        <v>180</v>
      </c>
      <c r="P8" s="101" t="s">
        <v>181</v>
      </c>
      <c r="Q8" s="101" t="s">
        <v>182</v>
      </c>
      <c r="S8" s="101" t="s">
        <v>180</v>
      </c>
      <c r="T8" s="101" t="s">
        <v>181</v>
      </c>
      <c r="U8" s="101" t="s">
        <v>182</v>
      </c>
    </row>
    <row r="9" spans="2:21" ht="15" customHeight="1" x14ac:dyDescent="0.15">
      <c r="B9" s="122" t="str">
        <f>完成工事高!B7</f>
        <v>*</v>
      </c>
      <c r="C9" s="719" t="s">
        <v>48</v>
      </c>
      <c r="D9" s="720"/>
      <c r="E9" s="721"/>
      <c r="F9" s="42"/>
      <c r="G9" s="80">
        <f>IF(B9="","",ROUND(0.25*H9+0.15*$H$6+0.2*$G$6+0.25*I9+0.15*$I$6,0))</f>
        <v>419</v>
      </c>
      <c r="H9" s="80">
        <f>IF(B9="","",完成工事高X1!G7)</f>
        <v>819</v>
      </c>
      <c r="I9" s="80">
        <f>IF(B9="","",元請完成工事高Z2!N7)</f>
        <v>456</v>
      </c>
      <c r="J9" s="33"/>
      <c r="K9" s="80">
        <f>IF(B9="","",ROUND(0.25*L9+0.15*$L$6+0.2*$K$6+0.25*M9+0.15*$M$6,0))</f>
        <v>416</v>
      </c>
      <c r="L9" s="80">
        <f>H9</f>
        <v>819</v>
      </c>
      <c r="M9" s="80">
        <f>I9</f>
        <v>456</v>
      </c>
      <c r="O9" s="80">
        <f>IF(B9="","",ROUND(0.25*P9+0.15*$P$6+0.2*$O$6+0.25*Q9+0.15*$Q$6,0))</f>
        <v>414</v>
      </c>
      <c r="P9" s="80">
        <f>IF(B9="","",完成工事高X1!M7)</f>
        <v>801</v>
      </c>
      <c r="Q9" s="80">
        <f>IF(B9="","",元請完成工事高Z2!X7)</f>
        <v>456</v>
      </c>
      <c r="S9" s="80">
        <f>IF(B9="","",ROUND(0.25*T9+0.15*$T$6+0.2*$S$6+0.25*U9+0.15*$U$6,0))</f>
        <v>412</v>
      </c>
      <c r="T9" s="80">
        <f>P9</f>
        <v>801</v>
      </c>
      <c r="U9" s="80">
        <f>Q9</f>
        <v>456</v>
      </c>
    </row>
    <row r="10" spans="2:21" ht="15" customHeight="1" x14ac:dyDescent="0.15">
      <c r="B10" s="123"/>
      <c r="C10" s="138"/>
      <c r="D10" s="705" t="s">
        <v>454</v>
      </c>
      <c r="E10" s="706"/>
      <c r="F10" s="42"/>
      <c r="G10" s="80">
        <f>IF(B9="","",ROUND(0.25*H10+0.15*$H$6+0.2*$G$6+0.25*I10+0.15*$I$6,0))</f>
        <v>313</v>
      </c>
      <c r="H10" s="80">
        <f>IF(B9="","",完成工事高X1!G8)</f>
        <v>397</v>
      </c>
      <c r="I10" s="80">
        <f>IF(B9="","",元請完成工事高Z2!N8)</f>
        <v>456</v>
      </c>
      <c r="J10" s="33"/>
      <c r="K10" s="80">
        <f>IF(B9="","",ROUND(0.25*L10+0.15*$L$6+0.2*$K$6+0.25*M10+0.15*$M$6,0))</f>
        <v>311</v>
      </c>
      <c r="L10" s="80">
        <f>H10</f>
        <v>397</v>
      </c>
      <c r="M10" s="80">
        <f t="shared" ref="M10:M39" si="0">I10</f>
        <v>456</v>
      </c>
      <c r="O10" s="80">
        <f>IF(B9="","",ROUND(0.25*P10+0.15*$P$6+0.2*$O$6+0.25*Q10+0.15*$Q$6,0))</f>
        <v>313</v>
      </c>
      <c r="P10" s="80">
        <f>IF(B9="","",完成工事高X1!M8)</f>
        <v>397</v>
      </c>
      <c r="Q10" s="80">
        <f>IF(B9="","",元請完成工事高Z2!X8)</f>
        <v>456</v>
      </c>
      <c r="S10" s="80">
        <f>IF(B9="","",ROUND(0.25*T10+0.15*$T$6+0.2*$S$6+0.25*U10+0.15*$U$6,0))</f>
        <v>311</v>
      </c>
      <c r="T10" s="80">
        <f t="shared" ref="T10:T39" si="1">P10</f>
        <v>397</v>
      </c>
      <c r="U10" s="80">
        <f t="shared" ref="U10:U39" si="2">Q10</f>
        <v>456</v>
      </c>
    </row>
    <row r="11" spans="2:21" ht="15" customHeight="1" x14ac:dyDescent="0.15">
      <c r="B11" s="124" t="str">
        <f>完成工事高!B9</f>
        <v>*</v>
      </c>
      <c r="C11" s="704" t="s">
        <v>53</v>
      </c>
      <c r="D11" s="444"/>
      <c r="E11" s="445"/>
      <c r="F11" s="42"/>
      <c r="G11" s="80">
        <f>IF(B11="","",ROUND(0.25*H11+0.15*$H$6+0.2*$G$6+0.25*I11+0.15*$I$6,0))</f>
        <v>313</v>
      </c>
      <c r="H11" s="80">
        <f>IF(B11="","",完成工事高X1!G9)</f>
        <v>397</v>
      </c>
      <c r="I11" s="80">
        <f>IF(B11="","",元請完成工事高Z2!N9)</f>
        <v>456</v>
      </c>
      <c r="J11" s="33"/>
      <c r="K11" s="80">
        <f>IF(B11="","",ROUND(0.25*L11+0.15*$L$6+0.2*$K$6+0.25*M11+0.15*$M$6,0))</f>
        <v>311</v>
      </c>
      <c r="L11" s="80">
        <f t="shared" ref="L11:L39" si="3">H11</f>
        <v>397</v>
      </c>
      <c r="M11" s="80">
        <f t="shared" si="0"/>
        <v>456</v>
      </c>
      <c r="O11" s="80">
        <f>IF(B11="","",ROUND(0.25*P11+0.15*$P$6+0.2*$O$6+0.25*Q11+0.15*$Q$6,0))</f>
        <v>313</v>
      </c>
      <c r="P11" s="80">
        <f>IF(B11="","",完成工事高X1!M9)</f>
        <v>397</v>
      </c>
      <c r="Q11" s="80">
        <f>IF(B11="","",元請完成工事高Z2!X9)</f>
        <v>456</v>
      </c>
      <c r="S11" s="80">
        <f>IF(B11="","",ROUND(0.25*T11+0.15*$T$6+0.2*$S$6+0.25*U11+0.15*$U$6,0))</f>
        <v>311</v>
      </c>
      <c r="T11" s="80">
        <f t="shared" si="1"/>
        <v>397</v>
      </c>
      <c r="U11" s="80">
        <f t="shared" si="2"/>
        <v>456</v>
      </c>
    </row>
    <row r="12" spans="2:21" ht="15" customHeight="1" x14ac:dyDescent="0.15">
      <c r="B12" s="124" t="str">
        <f>完成工事高!B10</f>
        <v/>
      </c>
      <c r="C12" s="704" t="s">
        <v>54</v>
      </c>
      <c r="D12" s="444"/>
      <c r="E12" s="445"/>
      <c r="F12" s="42"/>
      <c r="G12" s="80" t="str">
        <f>IF(B12="","",ROUND(0.25*H12+0.15*$H$6+0.2*$G$6+0.25*I12+0.15*$I$6,0))</f>
        <v/>
      </c>
      <c r="H12" s="80" t="str">
        <f>IF(B12="","",完成工事高X1!G10)</f>
        <v/>
      </c>
      <c r="I12" s="80" t="str">
        <f>IF(B12="","",元請完成工事高Z2!N10)</f>
        <v/>
      </c>
      <c r="J12" s="33"/>
      <c r="K12" s="80" t="str">
        <f>IF(B12="","",ROUND(0.25*L12+0.15*$L$6+0.2*$K$6+0.25*M12+0.15*$M$6,0))</f>
        <v/>
      </c>
      <c r="L12" s="80" t="str">
        <f t="shared" si="3"/>
        <v/>
      </c>
      <c r="M12" s="80" t="str">
        <f t="shared" si="0"/>
        <v/>
      </c>
      <c r="O12" s="80" t="str">
        <f>IF(B12="","",ROUND(0.25*P12+0.15*$P$6+0.2*$O$6+0.25*Q12+0.15*$Q$6,0))</f>
        <v/>
      </c>
      <c r="P12" s="80" t="str">
        <f>IF(B12="","",完成工事高X1!M10)</f>
        <v/>
      </c>
      <c r="Q12" s="80" t="str">
        <f>IF(B12="","",元請完成工事高Z2!X10)</f>
        <v/>
      </c>
      <c r="S12" s="80" t="str">
        <f>IF(B12="","",ROUND(0.25*T12+0.15*$T$6+0.2*$S$6+0.25*U12+0.15*$U$6,0))</f>
        <v/>
      </c>
      <c r="T12" s="80" t="str">
        <f t="shared" si="1"/>
        <v/>
      </c>
      <c r="U12" s="80" t="str">
        <f t="shared" si="2"/>
        <v/>
      </c>
    </row>
    <row r="13" spans="2:21" ht="15" customHeight="1" x14ac:dyDescent="0.15">
      <c r="B13" s="124" t="str">
        <f>完成工事高!B11</f>
        <v/>
      </c>
      <c r="C13" s="704" t="s">
        <v>56</v>
      </c>
      <c r="D13" s="444"/>
      <c r="E13" s="445"/>
      <c r="F13" s="42"/>
      <c r="G13" s="80" t="str">
        <f>IF(B13="","",ROUND(0.25*H13+0.15*$H$6+0.2*$G$6+0.25*I13+0.15*$I$6,0))</f>
        <v/>
      </c>
      <c r="H13" s="80" t="str">
        <f>IF(B13="","",完成工事高X1!G11)</f>
        <v/>
      </c>
      <c r="I13" s="80" t="str">
        <f>IF(B13="","",元請完成工事高Z2!N11)</f>
        <v/>
      </c>
      <c r="J13" s="33"/>
      <c r="K13" s="80" t="str">
        <f>IF(B13="","",ROUND(0.25*L13+0.15*$L$6+0.2*$K$6+0.25*M13+0.15*$M$6,0))</f>
        <v/>
      </c>
      <c r="L13" s="80" t="str">
        <f t="shared" si="3"/>
        <v/>
      </c>
      <c r="M13" s="80" t="str">
        <f t="shared" si="0"/>
        <v/>
      </c>
      <c r="O13" s="80" t="str">
        <f>IF(B13="","",ROUND(0.25*P13+0.15*$P$6+0.2*$O$6+0.25*Q13+0.15*$Q$6,0))</f>
        <v/>
      </c>
      <c r="P13" s="80" t="str">
        <f>IF(B13="","",完成工事高X1!M11)</f>
        <v/>
      </c>
      <c r="Q13" s="80" t="str">
        <f>IF(B13="","",元請完成工事高Z2!X11)</f>
        <v/>
      </c>
      <c r="S13" s="80" t="str">
        <f>IF(B13="","",ROUND(0.25*T13+0.15*$T$6+0.2*$S$6+0.25*U13+0.15*$U$6,0))</f>
        <v/>
      </c>
      <c r="T13" s="80" t="str">
        <f t="shared" si="1"/>
        <v/>
      </c>
      <c r="U13" s="80" t="str">
        <f t="shared" si="2"/>
        <v/>
      </c>
    </row>
    <row r="14" spans="2:21" ht="15" customHeight="1" x14ac:dyDescent="0.15">
      <c r="B14" s="123" t="str">
        <f>完成工事高!B12</f>
        <v>*</v>
      </c>
      <c r="C14" s="708" t="s">
        <v>58</v>
      </c>
      <c r="D14" s="451"/>
      <c r="E14" s="452"/>
      <c r="F14" s="45"/>
      <c r="G14" s="80">
        <f>IF(B14="","",ROUND(0.25*H14+0.15*$H$6+0.2*$G$6+0.25*I14+0.15*$I$6,0))</f>
        <v>314</v>
      </c>
      <c r="H14" s="80">
        <f>IF(B14="","",完成工事高X1!G12)</f>
        <v>401</v>
      </c>
      <c r="I14" s="80">
        <f>IF(B14="","",元請完成工事高Z2!N12)</f>
        <v>456</v>
      </c>
      <c r="J14" s="33"/>
      <c r="K14" s="80">
        <f>IF(B14="","",ROUND(0.25*L14+0.15*$L$6+0.2*$K$6+0.25*M14+0.15*$M$6,0))</f>
        <v>312</v>
      </c>
      <c r="L14" s="80">
        <f t="shared" si="3"/>
        <v>401</v>
      </c>
      <c r="M14" s="80">
        <f t="shared" si="0"/>
        <v>456</v>
      </c>
      <c r="O14" s="80">
        <f>IF(B14="","",ROUND(0.25*P14+0.15*$P$6+0.2*$O$6+0.25*Q14+0.15*$Q$6,0))</f>
        <v>314</v>
      </c>
      <c r="P14" s="80">
        <f>IF(B14="","",完成工事高X1!M12)</f>
        <v>400</v>
      </c>
      <c r="Q14" s="80">
        <f>IF(B14="","",元請完成工事高Z2!X12)</f>
        <v>456</v>
      </c>
      <c r="S14" s="80">
        <f>IF(B14="","",ROUND(0.25*T14+0.15*$T$6+0.2*$S$6+0.25*U14+0.15*$U$6,0))</f>
        <v>312</v>
      </c>
      <c r="T14" s="80">
        <f t="shared" si="1"/>
        <v>400</v>
      </c>
      <c r="U14" s="80">
        <f t="shared" si="2"/>
        <v>456</v>
      </c>
    </row>
    <row r="15" spans="2:21" ht="15" customHeight="1" x14ac:dyDescent="0.15">
      <c r="B15" s="123"/>
      <c r="C15" s="138"/>
      <c r="D15" s="705" t="s">
        <v>59</v>
      </c>
      <c r="E15" s="706"/>
      <c r="F15" s="42"/>
      <c r="G15" s="80">
        <f>IF(B14="","",ROUND(0.25*H15+0.15*$H$6+0.2*$G$6+0.25*I15+0.15*$I$6,0))</f>
        <v>313</v>
      </c>
      <c r="H15" s="80">
        <f>IF(B14="","",完成工事高X1!G13)</f>
        <v>397</v>
      </c>
      <c r="I15" s="80">
        <f>IF(B14="","",元請完成工事高Z2!N13)</f>
        <v>456</v>
      </c>
      <c r="J15" s="33"/>
      <c r="K15" s="80">
        <f>IF(B14="","",ROUND(0.25*L15+0.15*$L$6+0.2*$K$6+0.25*M15+0.15*$M$6,0))</f>
        <v>311</v>
      </c>
      <c r="L15" s="80">
        <f t="shared" si="3"/>
        <v>397</v>
      </c>
      <c r="M15" s="80">
        <f t="shared" si="0"/>
        <v>456</v>
      </c>
      <c r="O15" s="80">
        <f>IF(B14="","",ROUND(0.25*P15+0.15*$P$6+0.2*$O$6+0.25*Q15+0.15*$Q$6,0))</f>
        <v>313</v>
      </c>
      <c r="P15" s="80">
        <f>IF(B14="","",完成工事高X1!M13)</f>
        <v>397</v>
      </c>
      <c r="Q15" s="80">
        <f>IF(B14="","",元請完成工事高Z2!X13)</f>
        <v>456</v>
      </c>
      <c r="S15" s="80">
        <f>IF(B14="","",ROUND(0.25*T15+0.15*$T$6+0.2*$S$6+0.25*U15+0.15*$U$6,0))</f>
        <v>311</v>
      </c>
      <c r="T15" s="80">
        <f t="shared" si="1"/>
        <v>397</v>
      </c>
      <c r="U15" s="80">
        <f t="shared" si="2"/>
        <v>456</v>
      </c>
    </row>
    <row r="16" spans="2:21" ht="15" customHeight="1" x14ac:dyDescent="0.15">
      <c r="B16" s="124" t="str">
        <f>完成工事高!B14</f>
        <v/>
      </c>
      <c r="C16" s="704" t="s">
        <v>61</v>
      </c>
      <c r="D16" s="444"/>
      <c r="E16" s="445"/>
      <c r="F16" s="42"/>
      <c r="G16" s="80" t="str">
        <f t="shared" ref="G16:G21" si="4">IF(B16="","",ROUND(0.25*H16+0.15*$H$6+0.2*$G$6+0.25*I16+0.15*$I$6,0))</f>
        <v/>
      </c>
      <c r="H16" s="80" t="str">
        <f>IF(B16="","",完成工事高X1!G14)</f>
        <v/>
      </c>
      <c r="I16" s="80" t="str">
        <f>IF(B16="","",元請完成工事高Z2!N14)</f>
        <v/>
      </c>
      <c r="J16" s="33"/>
      <c r="K16" s="80" t="str">
        <f t="shared" ref="K16:K21" si="5">IF(B16="","",ROUND(0.25*L16+0.15*$L$6+0.2*$K$6+0.25*M16+0.15*$M$6,0))</f>
        <v/>
      </c>
      <c r="L16" s="80" t="str">
        <f t="shared" si="3"/>
        <v/>
      </c>
      <c r="M16" s="80" t="str">
        <f t="shared" si="0"/>
        <v/>
      </c>
      <c r="O16" s="80" t="str">
        <f t="shared" ref="O16:O21" si="6">IF(B16="","",ROUND(0.25*P16+0.15*$P$6+0.2*$O$6+0.25*Q16+0.15*$Q$6,0))</f>
        <v/>
      </c>
      <c r="P16" s="80" t="str">
        <f>IF(B16="","",完成工事高X1!M14)</f>
        <v/>
      </c>
      <c r="Q16" s="80" t="str">
        <f>IF(B16="","",元請完成工事高Z2!X14)</f>
        <v/>
      </c>
      <c r="S16" s="80" t="str">
        <f t="shared" ref="S16:S21" si="7">IF(B16="","",ROUND(0.25*T16+0.15*$T$6+0.2*$S$6+0.25*U16+0.15*$U$6,0))</f>
        <v/>
      </c>
      <c r="T16" s="80" t="str">
        <f t="shared" si="1"/>
        <v/>
      </c>
      <c r="U16" s="80" t="str">
        <f t="shared" si="2"/>
        <v/>
      </c>
    </row>
    <row r="17" spans="2:21" ht="15" customHeight="1" x14ac:dyDescent="0.15">
      <c r="B17" s="124" t="str">
        <f>完成工事高!B15</f>
        <v/>
      </c>
      <c r="C17" s="704" t="s">
        <v>62</v>
      </c>
      <c r="D17" s="444"/>
      <c r="E17" s="445"/>
      <c r="F17" s="42"/>
      <c r="G17" s="80" t="str">
        <f t="shared" si="4"/>
        <v/>
      </c>
      <c r="H17" s="80" t="str">
        <f>IF(B17="","",完成工事高X1!G15)</f>
        <v/>
      </c>
      <c r="I17" s="80" t="str">
        <f>IF(B17="","",元請完成工事高Z2!N15)</f>
        <v/>
      </c>
      <c r="J17" s="33"/>
      <c r="K17" s="80" t="str">
        <f t="shared" si="5"/>
        <v/>
      </c>
      <c r="L17" s="80" t="str">
        <f t="shared" si="3"/>
        <v/>
      </c>
      <c r="M17" s="80" t="str">
        <f t="shared" si="0"/>
        <v/>
      </c>
      <c r="O17" s="80" t="str">
        <f t="shared" si="6"/>
        <v/>
      </c>
      <c r="P17" s="80" t="str">
        <f>IF(B17="","",完成工事高X1!M15)</f>
        <v/>
      </c>
      <c r="Q17" s="80" t="str">
        <f>IF(B17="","",元請完成工事高Z2!X15)</f>
        <v/>
      </c>
      <c r="S17" s="80" t="str">
        <f t="shared" si="7"/>
        <v/>
      </c>
      <c r="T17" s="80" t="str">
        <f t="shared" si="1"/>
        <v/>
      </c>
      <c r="U17" s="80" t="str">
        <f t="shared" si="2"/>
        <v/>
      </c>
    </row>
    <row r="18" spans="2:21" ht="15" customHeight="1" x14ac:dyDescent="0.15">
      <c r="B18" s="124" t="str">
        <f>完成工事高!B16</f>
        <v/>
      </c>
      <c r="C18" s="704" t="s">
        <v>64</v>
      </c>
      <c r="D18" s="444"/>
      <c r="E18" s="445"/>
      <c r="F18" s="42"/>
      <c r="G18" s="80" t="str">
        <f t="shared" si="4"/>
        <v/>
      </c>
      <c r="H18" s="80" t="str">
        <f>IF(B18="","",完成工事高X1!G16)</f>
        <v/>
      </c>
      <c r="I18" s="80" t="str">
        <f>IF(B18="","",元請完成工事高Z2!N16)</f>
        <v/>
      </c>
      <c r="J18" s="33"/>
      <c r="K18" s="80" t="str">
        <f t="shared" si="5"/>
        <v/>
      </c>
      <c r="L18" s="80" t="str">
        <f t="shared" si="3"/>
        <v/>
      </c>
      <c r="M18" s="80" t="str">
        <f t="shared" si="0"/>
        <v/>
      </c>
      <c r="O18" s="80" t="str">
        <f t="shared" si="6"/>
        <v/>
      </c>
      <c r="P18" s="80" t="str">
        <f>IF(B18="","",完成工事高X1!M16)</f>
        <v/>
      </c>
      <c r="Q18" s="80" t="str">
        <f>IF(B18="","",元請完成工事高Z2!X16)</f>
        <v/>
      </c>
      <c r="S18" s="80" t="str">
        <f t="shared" si="7"/>
        <v/>
      </c>
      <c r="T18" s="80" t="str">
        <f t="shared" si="1"/>
        <v/>
      </c>
      <c r="U18" s="80" t="str">
        <f t="shared" si="2"/>
        <v/>
      </c>
    </row>
    <row r="19" spans="2:21" ht="15" customHeight="1" x14ac:dyDescent="0.15">
      <c r="B19" s="124" t="str">
        <f>完成工事高!B17</f>
        <v/>
      </c>
      <c r="C19" s="704" t="s">
        <v>65</v>
      </c>
      <c r="D19" s="444"/>
      <c r="E19" s="445"/>
      <c r="F19" s="42"/>
      <c r="G19" s="80" t="str">
        <f t="shared" si="4"/>
        <v/>
      </c>
      <c r="H19" s="80" t="str">
        <f>IF(B19="","",完成工事高X1!G17)</f>
        <v/>
      </c>
      <c r="I19" s="80" t="str">
        <f>IF(B19="","",元請完成工事高Z2!N17)</f>
        <v/>
      </c>
      <c r="J19" s="33"/>
      <c r="K19" s="80" t="str">
        <f t="shared" si="5"/>
        <v/>
      </c>
      <c r="L19" s="80" t="str">
        <f t="shared" si="3"/>
        <v/>
      </c>
      <c r="M19" s="80" t="str">
        <f t="shared" si="0"/>
        <v/>
      </c>
      <c r="O19" s="80" t="str">
        <f t="shared" si="6"/>
        <v/>
      </c>
      <c r="P19" s="80" t="str">
        <f>IF(B19="","",完成工事高X1!M17)</f>
        <v/>
      </c>
      <c r="Q19" s="80" t="str">
        <f>IF(B19="","",元請完成工事高Z2!X17)</f>
        <v/>
      </c>
      <c r="S19" s="80" t="str">
        <f t="shared" si="7"/>
        <v/>
      </c>
      <c r="T19" s="80" t="str">
        <f t="shared" si="1"/>
        <v/>
      </c>
      <c r="U19" s="80" t="str">
        <f t="shared" si="2"/>
        <v/>
      </c>
    </row>
    <row r="20" spans="2:21" ht="15" customHeight="1" x14ac:dyDescent="0.15">
      <c r="B20" s="124" t="str">
        <f>完成工事高!B18</f>
        <v/>
      </c>
      <c r="C20" s="709" t="s">
        <v>455</v>
      </c>
      <c r="D20" s="444"/>
      <c r="E20" s="445"/>
      <c r="F20" s="45"/>
      <c r="G20" s="80" t="str">
        <f t="shared" si="4"/>
        <v/>
      </c>
      <c r="H20" s="80" t="str">
        <f>IF(B20="","",完成工事高X1!G18)</f>
        <v/>
      </c>
      <c r="I20" s="80" t="str">
        <f>IF(B20="","",元請完成工事高Z2!N18)</f>
        <v/>
      </c>
      <c r="J20" s="33"/>
      <c r="K20" s="80" t="str">
        <f t="shared" si="5"/>
        <v/>
      </c>
      <c r="L20" s="80" t="str">
        <f t="shared" si="3"/>
        <v/>
      </c>
      <c r="M20" s="80" t="str">
        <f t="shared" si="0"/>
        <v/>
      </c>
      <c r="O20" s="80" t="str">
        <f t="shared" si="6"/>
        <v/>
      </c>
      <c r="P20" s="80" t="str">
        <f>IF(B20="","",完成工事高X1!M18)</f>
        <v/>
      </c>
      <c r="Q20" s="80" t="str">
        <f>IF(B20="","",元請完成工事高Z2!X18)</f>
        <v/>
      </c>
      <c r="S20" s="80" t="str">
        <f t="shared" si="7"/>
        <v/>
      </c>
      <c r="T20" s="80" t="str">
        <f t="shared" si="1"/>
        <v/>
      </c>
      <c r="U20" s="80" t="str">
        <f t="shared" si="2"/>
        <v/>
      </c>
    </row>
    <row r="21" spans="2:21" ht="15" customHeight="1" x14ac:dyDescent="0.15">
      <c r="B21" s="123" t="str">
        <f>完成工事高!B19</f>
        <v/>
      </c>
      <c r="C21" s="707" t="s">
        <v>67</v>
      </c>
      <c r="D21" s="451"/>
      <c r="E21" s="452"/>
      <c r="F21" s="42"/>
      <c r="G21" s="80" t="str">
        <f t="shared" si="4"/>
        <v/>
      </c>
      <c r="H21" s="80" t="str">
        <f>IF(B21="","",完成工事高X1!G19)</f>
        <v/>
      </c>
      <c r="I21" s="80" t="str">
        <f>IF(B21="","",元請完成工事高Z2!N19)</f>
        <v/>
      </c>
      <c r="J21" s="33"/>
      <c r="K21" s="80" t="str">
        <f t="shared" si="5"/>
        <v/>
      </c>
      <c r="L21" s="80" t="str">
        <f t="shared" si="3"/>
        <v/>
      </c>
      <c r="M21" s="80" t="str">
        <f t="shared" si="0"/>
        <v/>
      </c>
      <c r="O21" s="80" t="str">
        <f t="shared" si="6"/>
        <v/>
      </c>
      <c r="P21" s="80" t="str">
        <f>IF(B21="","",完成工事高X1!M19)</f>
        <v/>
      </c>
      <c r="Q21" s="80" t="str">
        <f>IF(B21="","",元請完成工事高Z2!X19)</f>
        <v/>
      </c>
      <c r="S21" s="80" t="str">
        <f t="shared" si="7"/>
        <v/>
      </c>
      <c r="T21" s="80" t="str">
        <f t="shared" si="1"/>
        <v/>
      </c>
      <c r="U21" s="80" t="str">
        <f t="shared" si="2"/>
        <v/>
      </c>
    </row>
    <row r="22" spans="2:21" ht="15" customHeight="1" x14ac:dyDescent="0.15">
      <c r="B22" s="123"/>
      <c r="C22" s="138"/>
      <c r="D22" s="705" t="s">
        <v>70</v>
      </c>
      <c r="E22" s="706"/>
      <c r="F22" s="42"/>
      <c r="G22" s="80" t="str">
        <f>IF(B21="","",ROUND(0.25*H22+0.15*$H$6+0.2*$G$6+0.25*I22+0.15*$I$6,0))</f>
        <v/>
      </c>
      <c r="H22" s="80" t="str">
        <f>IF(B21="","",完成工事高X1!G20)</f>
        <v/>
      </c>
      <c r="I22" s="80" t="str">
        <f>IF(B21="","",元請完成工事高Z2!N20)</f>
        <v/>
      </c>
      <c r="J22" s="33"/>
      <c r="K22" s="80" t="str">
        <f>IF(B21="","",ROUND(0.25*L22+0.15*$L$6+0.2*$K$6+0.25*M22+0.15*$M$6,0))</f>
        <v/>
      </c>
      <c r="L22" s="80" t="str">
        <f t="shared" si="3"/>
        <v/>
      </c>
      <c r="M22" s="80" t="str">
        <f t="shared" si="0"/>
        <v/>
      </c>
      <c r="O22" s="80" t="str">
        <f>IF(B21="","",ROUND(0.25*P22+0.15*$P$6+0.2*$O$6+0.25*Q22+0.15*$Q$6,0))</f>
        <v/>
      </c>
      <c r="P22" s="80" t="str">
        <f>IF(B21="","",完成工事高X1!M20)</f>
        <v/>
      </c>
      <c r="Q22" s="80" t="str">
        <f>IF(B21="","",元請完成工事高Z2!X20)</f>
        <v/>
      </c>
      <c r="S22" s="80" t="str">
        <f>IF(B21="","",ROUND(0.25*T22+0.15*$T$6+0.2*$S$6+0.25*U22+0.15*$U$6,0))</f>
        <v/>
      </c>
      <c r="T22" s="80" t="str">
        <f t="shared" si="1"/>
        <v/>
      </c>
      <c r="U22" s="80" t="str">
        <f t="shared" si="2"/>
        <v/>
      </c>
    </row>
    <row r="23" spans="2:21" ht="15" customHeight="1" x14ac:dyDescent="0.15">
      <c r="B23" s="124" t="str">
        <f>完成工事高!B21</f>
        <v/>
      </c>
      <c r="C23" s="704" t="s">
        <v>71</v>
      </c>
      <c r="D23" s="444"/>
      <c r="E23" s="445"/>
      <c r="F23" s="42"/>
      <c r="G23" s="80" t="str">
        <f t="shared" ref="G23:G40" si="8">IF(B23="","",ROUND(0.25*H23+0.15*$H$6+0.2*$G$6+0.25*I23+0.15*$I$6,0))</f>
        <v/>
      </c>
      <c r="H23" s="80" t="str">
        <f>IF(B23="","",完成工事高X1!G21)</f>
        <v/>
      </c>
      <c r="I23" s="80" t="str">
        <f>IF(B23="","",元請完成工事高Z2!N21)</f>
        <v/>
      </c>
      <c r="J23" s="33"/>
      <c r="K23" s="80" t="str">
        <f t="shared" ref="K23:K40" si="9">IF(B23="","",ROUND(0.25*L23+0.15*$L$6+0.2*$K$6+0.25*M23+0.15*$M$6,0))</f>
        <v/>
      </c>
      <c r="L23" s="80" t="str">
        <f t="shared" si="3"/>
        <v/>
      </c>
      <c r="M23" s="80" t="str">
        <f t="shared" si="0"/>
        <v/>
      </c>
      <c r="O23" s="80" t="str">
        <f t="shared" ref="O23:O40" si="10">IF(B23="","",ROUND(0.25*P23+0.15*$P$6+0.2*$O$6+0.25*Q23+0.15*$Q$6,0))</f>
        <v/>
      </c>
      <c r="P23" s="80" t="str">
        <f>IF(B23="","",完成工事高X1!M21)</f>
        <v/>
      </c>
      <c r="Q23" s="80" t="str">
        <f>IF(B23="","",元請完成工事高Z2!X21)</f>
        <v/>
      </c>
      <c r="S23" s="80" t="str">
        <f t="shared" ref="S23:S40" si="11">IF(B23="","",ROUND(0.25*T23+0.15*$T$6+0.2*$S$6+0.25*U23+0.15*$U$6,0))</f>
        <v/>
      </c>
      <c r="T23" s="80" t="str">
        <f t="shared" si="1"/>
        <v/>
      </c>
      <c r="U23" s="80" t="str">
        <f t="shared" si="2"/>
        <v/>
      </c>
    </row>
    <row r="24" spans="2:21" ht="15" customHeight="1" x14ac:dyDescent="0.15">
      <c r="B24" s="124" t="str">
        <f>完成工事高!B22</f>
        <v/>
      </c>
      <c r="C24" s="704" t="s">
        <v>549</v>
      </c>
      <c r="D24" s="444"/>
      <c r="E24" s="445"/>
      <c r="F24" s="42"/>
      <c r="G24" s="80" t="str">
        <f t="shared" si="8"/>
        <v/>
      </c>
      <c r="H24" s="80" t="str">
        <f>IF(B24="","",完成工事高X1!G22)</f>
        <v/>
      </c>
      <c r="I24" s="80" t="str">
        <f>IF(B24="","",元請完成工事高Z2!N22)</f>
        <v/>
      </c>
      <c r="J24" s="33"/>
      <c r="K24" s="80" t="str">
        <f t="shared" si="9"/>
        <v/>
      </c>
      <c r="L24" s="80" t="str">
        <f t="shared" si="3"/>
        <v/>
      </c>
      <c r="M24" s="80" t="str">
        <f t="shared" si="0"/>
        <v/>
      </c>
      <c r="O24" s="80" t="str">
        <f t="shared" si="10"/>
        <v/>
      </c>
      <c r="P24" s="80" t="str">
        <f>IF(B24="","",完成工事高X1!M22)</f>
        <v/>
      </c>
      <c r="Q24" s="80" t="str">
        <f>IF(B24="","",元請完成工事高Z2!X22)</f>
        <v/>
      </c>
      <c r="S24" s="80" t="str">
        <f t="shared" si="11"/>
        <v/>
      </c>
      <c r="T24" s="80" t="str">
        <f t="shared" si="1"/>
        <v/>
      </c>
      <c r="U24" s="80" t="str">
        <f t="shared" si="2"/>
        <v/>
      </c>
    </row>
    <row r="25" spans="2:21" ht="15" customHeight="1" x14ac:dyDescent="0.15">
      <c r="B25" s="124" t="str">
        <f>完成工事高!B23</f>
        <v/>
      </c>
      <c r="C25" s="704" t="s">
        <v>456</v>
      </c>
      <c r="D25" s="444"/>
      <c r="E25" s="445"/>
      <c r="F25" s="42"/>
      <c r="G25" s="80" t="str">
        <f t="shared" si="8"/>
        <v/>
      </c>
      <c r="H25" s="80" t="str">
        <f>IF(B25="","",完成工事高X1!G23)</f>
        <v/>
      </c>
      <c r="I25" s="80" t="str">
        <f>IF(B25="","",元請完成工事高Z2!N23)</f>
        <v/>
      </c>
      <c r="J25" s="33"/>
      <c r="K25" s="80" t="str">
        <f t="shared" si="9"/>
        <v/>
      </c>
      <c r="L25" s="80" t="str">
        <f t="shared" si="3"/>
        <v/>
      </c>
      <c r="M25" s="80" t="str">
        <f t="shared" si="0"/>
        <v/>
      </c>
      <c r="O25" s="80" t="str">
        <f t="shared" si="10"/>
        <v/>
      </c>
      <c r="P25" s="80" t="str">
        <f>IF(B25="","",完成工事高X1!M23)</f>
        <v/>
      </c>
      <c r="Q25" s="80" t="str">
        <f>IF(B25="","",元請完成工事高Z2!X23)</f>
        <v/>
      </c>
      <c r="S25" s="80" t="str">
        <f t="shared" si="11"/>
        <v/>
      </c>
      <c r="T25" s="80" t="str">
        <f t="shared" si="1"/>
        <v/>
      </c>
      <c r="U25" s="80" t="str">
        <f t="shared" si="2"/>
        <v/>
      </c>
    </row>
    <row r="26" spans="2:21" ht="15" customHeight="1" x14ac:dyDescent="0.15">
      <c r="B26" s="124" t="str">
        <f>完成工事高!B24</f>
        <v/>
      </c>
      <c r="C26" s="704" t="s">
        <v>72</v>
      </c>
      <c r="D26" s="444"/>
      <c r="E26" s="445"/>
      <c r="F26" s="42"/>
      <c r="G26" s="80" t="str">
        <f t="shared" si="8"/>
        <v/>
      </c>
      <c r="H26" s="80" t="str">
        <f>IF(B26="","",完成工事高X1!G24)</f>
        <v/>
      </c>
      <c r="I26" s="80" t="str">
        <f>IF(B26="","",元請完成工事高Z2!N24)</f>
        <v/>
      </c>
      <c r="J26" s="33"/>
      <c r="K26" s="80" t="str">
        <f t="shared" si="9"/>
        <v/>
      </c>
      <c r="L26" s="80" t="str">
        <f t="shared" si="3"/>
        <v/>
      </c>
      <c r="M26" s="80" t="str">
        <f t="shared" si="0"/>
        <v/>
      </c>
      <c r="O26" s="80" t="str">
        <f t="shared" si="10"/>
        <v/>
      </c>
      <c r="P26" s="80" t="str">
        <f>IF(B26="","",完成工事高X1!M24)</f>
        <v/>
      </c>
      <c r="Q26" s="80" t="str">
        <f>IF(B26="","",元請完成工事高Z2!X24)</f>
        <v/>
      </c>
      <c r="S26" s="80" t="str">
        <f t="shared" si="11"/>
        <v/>
      </c>
      <c r="T26" s="80" t="str">
        <f t="shared" si="1"/>
        <v/>
      </c>
      <c r="U26" s="80" t="str">
        <f t="shared" si="2"/>
        <v/>
      </c>
    </row>
    <row r="27" spans="2:21" ht="15" customHeight="1" x14ac:dyDescent="0.15">
      <c r="B27" s="124" t="str">
        <f>完成工事高!B25</f>
        <v/>
      </c>
      <c r="C27" s="704" t="s">
        <v>457</v>
      </c>
      <c r="D27" s="444"/>
      <c r="E27" s="445"/>
      <c r="F27" s="42"/>
      <c r="G27" s="80" t="str">
        <f t="shared" si="8"/>
        <v/>
      </c>
      <c r="H27" s="80" t="str">
        <f>IF(B27="","",完成工事高X1!G25)</f>
        <v/>
      </c>
      <c r="I27" s="80" t="str">
        <f>IF(B27="","",元請完成工事高Z2!N25)</f>
        <v/>
      </c>
      <c r="J27" s="33"/>
      <c r="K27" s="80" t="str">
        <f t="shared" si="9"/>
        <v/>
      </c>
      <c r="L27" s="80" t="str">
        <f t="shared" si="3"/>
        <v/>
      </c>
      <c r="M27" s="80" t="str">
        <f t="shared" si="0"/>
        <v/>
      </c>
      <c r="O27" s="80" t="str">
        <f t="shared" si="10"/>
        <v/>
      </c>
      <c r="P27" s="80" t="str">
        <f>IF(B27="","",完成工事高X1!M25)</f>
        <v/>
      </c>
      <c r="Q27" s="80" t="str">
        <f>IF(B27="","",元請完成工事高Z2!X25)</f>
        <v/>
      </c>
      <c r="S27" s="80" t="str">
        <f t="shared" si="11"/>
        <v/>
      </c>
      <c r="T27" s="80" t="str">
        <f t="shared" si="1"/>
        <v/>
      </c>
      <c r="U27" s="80" t="str">
        <f t="shared" si="2"/>
        <v/>
      </c>
    </row>
    <row r="28" spans="2:21" ht="15" customHeight="1" x14ac:dyDescent="0.15">
      <c r="B28" s="124" t="str">
        <f>完成工事高!B26</f>
        <v/>
      </c>
      <c r="C28" s="704" t="s">
        <v>73</v>
      </c>
      <c r="D28" s="444"/>
      <c r="E28" s="445"/>
      <c r="F28" s="42"/>
      <c r="G28" s="80" t="str">
        <f t="shared" si="8"/>
        <v/>
      </c>
      <c r="H28" s="80" t="str">
        <f>IF(B28="","",完成工事高X1!G26)</f>
        <v/>
      </c>
      <c r="I28" s="80" t="str">
        <f>IF(B28="","",元請完成工事高Z2!N26)</f>
        <v/>
      </c>
      <c r="J28" s="33"/>
      <c r="K28" s="80" t="str">
        <f t="shared" si="9"/>
        <v/>
      </c>
      <c r="L28" s="80" t="str">
        <f t="shared" si="3"/>
        <v/>
      </c>
      <c r="M28" s="80" t="str">
        <f t="shared" si="0"/>
        <v/>
      </c>
      <c r="O28" s="80" t="str">
        <f t="shared" si="10"/>
        <v/>
      </c>
      <c r="P28" s="80" t="str">
        <f>IF(B28="","",完成工事高X1!M26)</f>
        <v/>
      </c>
      <c r="Q28" s="80" t="str">
        <f>IF(B28="","",元請完成工事高Z2!X26)</f>
        <v/>
      </c>
      <c r="S28" s="80" t="str">
        <f t="shared" si="11"/>
        <v/>
      </c>
      <c r="T28" s="80" t="str">
        <f t="shared" si="1"/>
        <v/>
      </c>
      <c r="U28" s="80" t="str">
        <f t="shared" si="2"/>
        <v/>
      </c>
    </row>
    <row r="29" spans="2:21" ht="15" customHeight="1" x14ac:dyDescent="0.15">
      <c r="B29" s="124" t="str">
        <f>完成工事高!B27</f>
        <v/>
      </c>
      <c r="C29" s="704" t="s">
        <v>76</v>
      </c>
      <c r="D29" s="444"/>
      <c r="E29" s="445"/>
      <c r="F29" s="42"/>
      <c r="G29" s="80" t="str">
        <f t="shared" si="8"/>
        <v/>
      </c>
      <c r="H29" s="80" t="str">
        <f>IF(B29="","",完成工事高X1!G27)</f>
        <v/>
      </c>
      <c r="I29" s="80" t="str">
        <f>IF(B29="","",元請完成工事高Z2!N27)</f>
        <v/>
      </c>
      <c r="J29" s="33"/>
      <c r="K29" s="80" t="str">
        <f t="shared" si="9"/>
        <v/>
      </c>
      <c r="L29" s="80" t="str">
        <f t="shared" si="3"/>
        <v/>
      </c>
      <c r="M29" s="80" t="str">
        <f t="shared" si="0"/>
        <v/>
      </c>
      <c r="O29" s="80" t="str">
        <f t="shared" si="10"/>
        <v/>
      </c>
      <c r="P29" s="80" t="str">
        <f>IF(B29="","",完成工事高X1!M27)</f>
        <v/>
      </c>
      <c r="Q29" s="80" t="str">
        <f>IF(B29="","",元請完成工事高Z2!X27)</f>
        <v/>
      </c>
      <c r="S29" s="80" t="str">
        <f t="shared" si="11"/>
        <v/>
      </c>
      <c r="T29" s="80" t="str">
        <f t="shared" si="1"/>
        <v/>
      </c>
      <c r="U29" s="80" t="str">
        <f t="shared" si="2"/>
        <v/>
      </c>
    </row>
    <row r="30" spans="2:21" ht="15" customHeight="1" x14ac:dyDescent="0.15">
      <c r="B30" s="124" t="str">
        <f>完成工事高!B28</f>
        <v/>
      </c>
      <c r="C30" s="704" t="s">
        <v>77</v>
      </c>
      <c r="D30" s="444"/>
      <c r="E30" s="445"/>
      <c r="F30" s="42"/>
      <c r="G30" s="80" t="str">
        <f t="shared" si="8"/>
        <v/>
      </c>
      <c r="H30" s="80" t="str">
        <f>IF(B30="","",完成工事高X1!G28)</f>
        <v/>
      </c>
      <c r="I30" s="80" t="str">
        <f>IF(B30="","",元請完成工事高Z2!N28)</f>
        <v/>
      </c>
      <c r="J30" s="33"/>
      <c r="K30" s="80" t="str">
        <f t="shared" si="9"/>
        <v/>
      </c>
      <c r="L30" s="80" t="str">
        <f t="shared" si="3"/>
        <v/>
      </c>
      <c r="M30" s="80" t="str">
        <f t="shared" si="0"/>
        <v/>
      </c>
      <c r="O30" s="80" t="str">
        <f t="shared" si="10"/>
        <v/>
      </c>
      <c r="P30" s="80" t="str">
        <f>IF(B30="","",完成工事高X1!M28)</f>
        <v/>
      </c>
      <c r="Q30" s="80" t="str">
        <f>IF(B30="","",元請完成工事高Z2!X28)</f>
        <v/>
      </c>
      <c r="S30" s="80" t="str">
        <f t="shared" si="11"/>
        <v/>
      </c>
      <c r="T30" s="80" t="str">
        <f t="shared" si="1"/>
        <v/>
      </c>
      <c r="U30" s="80" t="str">
        <f t="shared" si="2"/>
        <v/>
      </c>
    </row>
    <row r="31" spans="2:21" ht="15" customHeight="1" x14ac:dyDescent="0.15">
      <c r="B31" s="124" t="str">
        <f>完成工事高!B29</f>
        <v/>
      </c>
      <c r="C31" s="704" t="s">
        <v>78</v>
      </c>
      <c r="D31" s="444"/>
      <c r="E31" s="445"/>
      <c r="F31" s="42"/>
      <c r="G31" s="80" t="str">
        <f t="shared" si="8"/>
        <v/>
      </c>
      <c r="H31" s="80" t="str">
        <f>IF(B31="","",完成工事高X1!G29)</f>
        <v/>
      </c>
      <c r="I31" s="80" t="str">
        <f>IF(B31="","",元請完成工事高Z2!N29)</f>
        <v/>
      </c>
      <c r="J31" s="33"/>
      <c r="K31" s="80" t="str">
        <f t="shared" si="9"/>
        <v/>
      </c>
      <c r="L31" s="80" t="str">
        <f t="shared" si="3"/>
        <v/>
      </c>
      <c r="M31" s="80" t="str">
        <f t="shared" si="0"/>
        <v/>
      </c>
      <c r="O31" s="80" t="str">
        <f t="shared" si="10"/>
        <v/>
      </c>
      <c r="P31" s="80" t="str">
        <f>IF(B31="","",完成工事高X1!M29)</f>
        <v/>
      </c>
      <c r="Q31" s="80" t="str">
        <f>IF(B31="","",元請完成工事高Z2!X29)</f>
        <v/>
      </c>
      <c r="S31" s="80" t="str">
        <f t="shared" si="11"/>
        <v/>
      </c>
      <c r="T31" s="80" t="str">
        <f t="shared" si="1"/>
        <v/>
      </c>
      <c r="U31" s="80" t="str">
        <f t="shared" si="2"/>
        <v/>
      </c>
    </row>
    <row r="32" spans="2:21" ht="15" customHeight="1" x14ac:dyDescent="0.15">
      <c r="B32" s="124" t="str">
        <f>完成工事高!B30</f>
        <v/>
      </c>
      <c r="C32" s="704" t="s">
        <v>79</v>
      </c>
      <c r="D32" s="444"/>
      <c r="E32" s="445"/>
      <c r="F32" s="42"/>
      <c r="G32" s="80" t="str">
        <f t="shared" si="8"/>
        <v/>
      </c>
      <c r="H32" s="80" t="str">
        <f>IF(B32="","",完成工事高X1!G30)</f>
        <v/>
      </c>
      <c r="I32" s="80" t="str">
        <f>IF(B32="","",元請完成工事高Z2!N30)</f>
        <v/>
      </c>
      <c r="J32" s="33"/>
      <c r="K32" s="80" t="str">
        <f t="shared" si="9"/>
        <v/>
      </c>
      <c r="L32" s="80" t="str">
        <f t="shared" si="3"/>
        <v/>
      </c>
      <c r="M32" s="80" t="str">
        <f t="shared" si="0"/>
        <v/>
      </c>
      <c r="O32" s="80" t="str">
        <f t="shared" si="10"/>
        <v/>
      </c>
      <c r="P32" s="80" t="str">
        <f>IF(B32="","",完成工事高X1!M30)</f>
        <v/>
      </c>
      <c r="Q32" s="80" t="str">
        <f>IF(B32="","",元請完成工事高Z2!X30)</f>
        <v/>
      </c>
      <c r="S32" s="80" t="str">
        <f t="shared" si="11"/>
        <v/>
      </c>
      <c r="T32" s="80" t="str">
        <f t="shared" si="1"/>
        <v/>
      </c>
      <c r="U32" s="80" t="str">
        <f t="shared" si="2"/>
        <v/>
      </c>
    </row>
    <row r="33" spans="2:21" ht="15" customHeight="1" x14ac:dyDescent="0.15">
      <c r="B33" s="124" t="str">
        <f>完成工事高!B31</f>
        <v/>
      </c>
      <c r="C33" s="704" t="s">
        <v>80</v>
      </c>
      <c r="D33" s="444"/>
      <c r="E33" s="445"/>
      <c r="F33" s="42"/>
      <c r="G33" s="80" t="str">
        <f t="shared" si="8"/>
        <v/>
      </c>
      <c r="H33" s="80" t="str">
        <f>IF(B33="","",完成工事高X1!G31)</f>
        <v/>
      </c>
      <c r="I33" s="80" t="str">
        <f>IF(B33="","",元請完成工事高Z2!N31)</f>
        <v/>
      </c>
      <c r="J33" s="33"/>
      <c r="K33" s="80" t="str">
        <f t="shared" si="9"/>
        <v/>
      </c>
      <c r="L33" s="80" t="str">
        <f t="shared" si="3"/>
        <v/>
      </c>
      <c r="M33" s="80" t="str">
        <f t="shared" si="0"/>
        <v/>
      </c>
      <c r="O33" s="80" t="str">
        <f t="shared" si="10"/>
        <v/>
      </c>
      <c r="P33" s="80" t="str">
        <f>IF(B33="","",完成工事高X1!M31)</f>
        <v/>
      </c>
      <c r="Q33" s="80" t="str">
        <f>IF(B33="","",元請完成工事高Z2!X31)</f>
        <v/>
      </c>
      <c r="S33" s="80" t="str">
        <f t="shared" si="11"/>
        <v/>
      </c>
      <c r="T33" s="80" t="str">
        <f t="shared" si="1"/>
        <v/>
      </c>
      <c r="U33" s="80" t="str">
        <f t="shared" si="2"/>
        <v/>
      </c>
    </row>
    <row r="34" spans="2:21" ht="15" customHeight="1" x14ac:dyDescent="0.15">
      <c r="B34" s="124" t="str">
        <f>完成工事高!B32</f>
        <v/>
      </c>
      <c r="C34" s="704" t="s">
        <v>1</v>
      </c>
      <c r="D34" s="444"/>
      <c r="E34" s="445"/>
      <c r="F34" s="42"/>
      <c r="G34" s="80" t="str">
        <f t="shared" si="8"/>
        <v/>
      </c>
      <c r="H34" s="80" t="str">
        <f>IF(B34="","",完成工事高X1!G32)</f>
        <v/>
      </c>
      <c r="I34" s="80" t="str">
        <f>IF(B34="","",元請完成工事高Z2!N32)</f>
        <v/>
      </c>
      <c r="J34" s="33"/>
      <c r="K34" s="80" t="str">
        <f t="shared" si="9"/>
        <v/>
      </c>
      <c r="L34" s="80" t="str">
        <f t="shared" si="3"/>
        <v/>
      </c>
      <c r="M34" s="80" t="str">
        <f t="shared" si="0"/>
        <v/>
      </c>
      <c r="O34" s="80" t="str">
        <f t="shared" si="10"/>
        <v/>
      </c>
      <c r="P34" s="80" t="str">
        <f>IF(B34="","",完成工事高X1!M32)</f>
        <v/>
      </c>
      <c r="Q34" s="80" t="str">
        <f>IF(B34="","",元請完成工事高Z2!X32)</f>
        <v/>
      </c>
      <c r="S34" s="80" t="str">
        <f t="shared" si="11"/>
        <v/>
      </c>
      <c r="T34" s="80" t="str">
        <f t="shared" si="1"/>
        <v/>
      </c>
      <c r="U34" s="80" t="str">
        <f t="shared" si="2"/>
        <v/>
      </c>
    </row>
    <row r="35" spans="2:21" ht="15" customHeight="1" x14ac:dyDescent="0.15">
      <c r="B35" s="124" t="str">
        <f>完成工事高!B33</f>
        <v/>
      </c>
      <c r="C35" s="704" t="s">
        <v>3</v>
      </c>
      <c r="D35" s="444"/>
      <c r="E35" s="445"/>
      <c r="F35" s="42"/>
      <c r="G35" s="80" t="str">
        <f t="shared" si="8"/>
        <v/>
      </c>
      <c r="H35" s="80" t="str">
        <f>IF(B35="","",完成工事高X1!G33)</f>
        <v/>
      </c>
      <c r="I35" s="80" t="str">
        <f>IF(B35="","",元請完成工事高Z2!N33)</f>
        <v/>
      </c>
      <c r="J35" s="33"/>
      <c r="K35" s="80" t="str">
        <f t="shared" si="9"/>
        <v/>
      </c>
      <c r="L35" s="80" t="str">
        <f t="shared" si="3"/>
        <v/>
      </c>
      <c r="M35" s="80" t="str">
        <f t="shared" si="0"/>
        <v/>
      </c>
      <c r="O35" s="80" t="str">
        <f t="shared" si="10"/>
        <v/>
      </c>
      <c r="P35" s="80" t="str">
        <f>IF(B35="","",完成工事高X1!M33)</f>
        <v/>
      </c>
      <c r="Q35" s="80" t="str">
        <f>IF(B35="","",元請完成工事高Z2!X33)</f>
        <v/>
      </c>
      <c r="S35" s="80" t="str">
        <f t="shared" si="11"/>
        <v/>
      </c>
      <c r="T35" s="80" t="str">
        <f t="shared" si="1"/>
        <v/>
      </c>
      <c r="U35" s="80" t="str">
        <f t="shared" si="2"/>
        <v/>
      </c>
    </row>
    <row r="36" spans="2:21" ht="15" customHeight="1" x14ac:dyDescent="0.15">
      <c r="B36" s="124" t="str">
        <f>完成工事高!B34</f>
        <v/>
      </c>
      <c r="C36" s="704" t="s">
        <v>5</v>
      </c>
      <c r="D36" s="444"/>
      <c r="E36" s="445"/>
      <c r="F36" s="42"/>
      <c r="G36" s="80" t="str">
        <f t="shared" si="8"/>
        <v/>
      </c>
      <c r="H36" s="80" t="str">
        <f>IF(B36="","",完成工事高X1!G34)</f>
        <v/>
      </c>
      <c r="I36" s="80" t="str">
        <f>IF(B36="","",元請完成工事高Z2!N34)</f>
        <v/>
      </c>
      <c r="J36" s="33"/>
      <c r="K36" s="80" t="str">
        <f t="shared" si="9"/>
        <v/>
      </c>
      <c r="L36" s="80" t="str">
        <f t="shared" si="3"/>
        <v/>
      </c>
      <c r="M36" s="80" t="str">
        <f t="shared" si="0"/>
        <v/>
      </c>
      <c r="O36" s="80" t="str">
        <f t="shared" si="10"/>
        <v/>
      </c>
      <c r="P36" s="80" t="str">
        <f>IF(B36="","",完成工事高X1!M34)</f>
        <v/>
      </c>
      <c r="Q36" s="80" t="str">
        <f>IF(B36="","",元請完成工事高Z2!X34)</f>
        <v/>
      </c>
      <c r="S36" s="80" t="str">
        <f t="shared" si="11"/>
        <v/>
      </c>
      <c r="T36" s="80" t="str">
        <f t="shared" si="1"/>
        <v/>
      </c>
      <c r="U36" s="80" t="str">
        <f t="shared" si="2"/>
        <v/>
      </c>
    </row>
    <row r="37" spans="2:21" ht="15" customHeight="1" x14ac:dyDescent="0.15">
      <c r="B37" s="124" t="str">
        <f>完成工事高!B35</f>
        <v/>
      </c>
      <c r="C37" s="704" t="s">
        <v>7</v>
      </c>
      <c r="D37" s="444"/>
      <c r="E37" s="445"/>
      <c r="F37" s="42"/>
      <c r="G37" s="80" t="str">
        <f t="shared" si="8"/>
        <v/>
      </c>
      <c r="H37" s="80" t="str">
        <f>IF(B37="","",完成工事高X1!G35)</f>
        <v/>
      </c>
      <c r="I37" s="80" t="str">
        <f>IF(B37="","",元請完成工事高Z2!N35)</f>
        <v/>
      </c>
      <c r="J37" s="33"/>
      <c r="K37" s="80" t="str">
        <f t="shared" si="9"/>
        <v/>
      </c>
      <c r="L37" s="80" t="str">
        <f t="shared" si="3"/>
        <v/>
      </c>
      <c r="M37" s="80" t="str">
        <f t="shared" si="0"/>
        <v/>
      </c>
      <c r="O37" s="80" t="str">
        <f t="shared" si="10"/>
        <v/>
      </c>
      <c r="P37" s="80" t="str">
        <f>IF(B37="","",完成工事高X1!M35)</f>
        <v/>
      </c>
      <c r="Q37" s="80" t="str">
        <f>IF(B37="","",元請完成工事高Z2!X35)</f>
        <v/>
      </c>
      <c r="S37" s="80" t="str">
        <f t="shared" si="11"/>
        <v/>
      </c>
      <c r="T37" s="80" t="str">
        <f t="shared" si="1"/>
        <v/>
      </c>
      <c r="U37" s="80" t="str">
        <f t="shared" si="2"/>
        <v/>
      </c>
    </row>
    <row r="38" spans="2:21" ht="15" customHeight="1" x14ac:dyDescent="0.15">
      <c r="B38" s="124" t="str">
        <f>完成工事高!B36</f>
        <v/>
      </c>
      <c r="C38" s="704" t="s">
        <v>9</v>
      </c>
      <c r="D38" s="444"/>
      <c r="E38" s="445"/>
      <c r="F38" s="42"/>
      <c r="G38" s="80" t="str">
        <f t="shared" si="8"/>
        <v/>
      </c>
      <c r="H38" s="80" t="str">
        <f>IF(B38="","",完成工事高X1!G36)</f>
        <v/>
      </c>
      <c r="I38" s="80" t="str">
        <f>IF(B38="","",元請完成工事高Z2!N36)</f>
        <v/>
      </c>
      <c r="J38" s="33"/>
      <c r="K38" s="80" t="str">
        <f t="shared" si="9"/>
        <v/>
      </c>
      <c r="L38" s="80" t="str">
        <f t="shared" si="3"/>
        <v/>
      </c>
      <c r="M38" s="80" t="str">
        <f t="shared" si="0"/>
        <v/>
      </c>
      <c r="O38" s="80" t="str">
        <f t="shared" si="10"/>
        <v/>
      </c>
      <c r="P38" s="80" t="str">
        <f>IF(B38="","",完成工事高X1!M36)</f>
        <v/>
      </c>
      <c r="Q38" s="80" t="str">
        <f>IF(B38="","",元請完成工事高Z2!X36)</f>
        <v/>
      </c>
      <c r="S38" s="80" t="str">
        <f t="shared" si="11"/>
        <v/>
      </c>
      <c r="T38" s="80" t="str">
        <f t="shared" si="1"/>
        <v/>
      </c>
      <c r="U38" s="80" t="str">
        <f t="shared" si="2"/>
        <v/>
      </c>
    </row>
    <row r="39" spans="2:21" ht="15" customHeight="1" x14ac:dyDescent="0.15">
      <c r="B39" s="124" t="str">
        <f>完成工事高!B37</f>
        <v/>
      </c>
      <c r="C39" s="704" t="s">
        <v>12</v>
      </c>
      <c r="D39" s="444"/>
      <c r="E39" s="445"/>
      <c r="F39" s="42"/>
      <c r="G39" s="80" t="str">
        <f t="shared" si="8"/>
        <v/>
      </c>
      <c r="H39" s="80" t="str">
        <f>IF(B39="","",完成工事高X1!G37)</f>
        <v/>
      </c>
      <c r="I39" s="80" t="str">
        <f>IF(B39="","",元請完成工事高Z2!N37)</f>
        <v/>
      </c>
      <c r="J39" s="33"/>
      <c r="K39" s="80" t="str">
        <f t="shared" si="9"/>
        <v/>
      </c>
      <c r="L39" s="80" t="str">
        <f t="shared" si="3"/>
        <v/>
      </c>
      <c r="M39" s="80" t="str">
        <f t="shared" si="0"/>
        <v/>
      </c>
      <c r="O39" s="80" t="str">
        <f t="shared" si="10"/>
        <v/>
      </c>
      <c r="P39" s="80" t="str">
        <f>IF(B39="","",完成工事高X1!M37)</f>
        <v/>
      </c>
      <c r="Q39" s="80" t="str">
        <f>IF(B39="","",元請完成工事高Z2!X37)</f>
        <v/>
      </c>
      <c r="S39" s="80" t="str">
        <f t="shared" si="11"/>
        <v/>
      </c>
      <c r="T39" s="80" t="str">
        <f t="shared" si="1"/>
        <v/>
      </c>
      <c r="U39" s="80" t="str">
        <f t="shared" si="2"/>
        <v/>
      </c>
    </row>
    <row r="40" spans="2:21" ht="15" customHeight="1" x14ac:dyDescent="0.15">
      <c r="B40" s="124" t="str">
        <f>完成工事高!B38</f>
        <v/>
      </c>
      <c r="C40" s="704" t="s">
        <v>533</v>
      </c>
      <c r="D40" s="444"/>
      <c r="E40" s="445"/>
      <c r="F40" s="42"/>
      <c r="G40" s="80" t="str">
        <f t="shared" si="8"/>
        <v/>
      </c>
      <c r="H40" s="80" t="str">
        <f>IF(B40="","",完成工事高X1!G38)</f>
        <v/>
      </c>
      <c r="I40" s="80" t="str">
        <f>IF(B40="","",元請完成工事高Z2!N38)</f>
        <v/>
      </c>
      <c r="J40" s="33"/>
      <c r="K40" s="80" t="str">
        <f t="shared" si="9"/>
        <v/>
      </c>
      <c r="L40" s="80" t="str">
        <f>H40</f>
        <v/>
      </c>
      <c r="M40" s="80" t="str">
        <f>I40</f>
        <v/>
      </c>
      <c r="O40" s="80" t="str">
        <f t="shared" si="10"/>
        <v/>
      </c>
      <c r="P40" s="80" t="str">
        <f>IF(B40="","",完成工事高X1!M38)</f>
        <v/>
      </c>
      <c r="Q40" s="80" t="str">
        <f>IF(B40="","",元請完成工事高Z2!X38)</f>
        <v/>
      </c>
      <c r="S40" s="80" t="str">
        <f t="shared" si="11"/>
        <v/>
      </c>
      <c r="T40" s="80" t="str">
        <f>P40</f>
        <v/>
      </c>
      <c r="U40" s="80" t="str">
        <f>Q40</f>
        <v/>
      </c>
    </row>
    <row r="41" spans="2:21" ht="15" customHeight="1" x14ac:dyDescent="0.15"/>
    <row r="42" spans="2:21" ht="15" customHeight="1" x14ac:dyDescent="0.15"/>
    <row r="43" spans="2:21" ht="15" customHeight="1" x14ac:dyDescent="0.15"/>
  </sheetData>
  <sheetProtection algorithmName="SHA-512" hashValue="NQ+sixnpRaoDaxrK9B6aTIieiM1PVlX6Jx7u5ULxCN6Sij0nlc6Z9TqL0e6MGQpr0lm0+lJNZi3Qk8GV0I0oxw==" saltValue="uhiQpaupLdcV9jNwYZnQHg==" spinCount="100000" sheet="1" objects="1" scenarios="1" selectLockedCells="1"/>
  <mergeCells count="43">
    <mergeCell ref="S2:U2"/>
    <mergeCell ref="S3:U3"/>
    <mergeCell ref="O2:Q2"/>
    <mergeCell ref="O3:Q3"/>
    <mergeCell ref="G3:I3"/>
    <mergeCell ref="D10:E10"/>
    <mergeCell ref="K2:M2"/>
    <mergeCell ref="K3:M3"/>
    <mergeCell ref="G2:I2"/>
    <mergeCell ref="B2:E2"/>
    <mergeCell ref="B3:E3"/>
    <mergeCell ref="C9:E9"/>
    <mergeCell ref="B5:E6"/>
    <mergeCell ref="C11:E11"/>
    <mergeCell ref="C21:E21"/>
    <mergeCell ref="C23:E23"/>
    <mergeCell ref="C14:E14"/>
    <mergeCell ref="C16:E16"/>
    <mergeCell ref="C17:E17"/>
    <mergeCell ref="C20:E20"/>
    <mergeCell ref="C19:E19"/>
    <mergeCell ref="C18:E18"/>
    <mergeCell ref="D22:E22"/>
    <mergeCell ref="C24:E24"/>
    <mergeCell ref="C25:E25"/>
    <mergeCell ref="C26:E26"/>
    <mergeCell ref="C12:E12"/>
    <mergeCell ref="C13:E13"/>
    <mergeCell ref="D15:E15"/>
    <mergeCell ref="C40:E40"/>
    <mergeCell ref="C27:E27"/>
    <mergeCell ref="C28:E28"/>
    <mergeCell ref="C32:E32"/>
    <mergeCell ref="C33:E33"/>
    <mergeCell ref="C34:E34"/>
    <mergeCell ref="C35:E35"/>
    <mergeCell ref="C36:E36"/>
    <mergeCell ref="C37:E37"/>
    <mergeCell ref="C39:E39"/>
    <mergeCell ref="C38:E38"/>
    <mergeCell ref="C31:E31"/>
    <mergeCell ref="C29:E29"/>
    <mergeCell ref="C30:E30"/>
  </mergeCells>
  <phoneticPr fontId="2"/>
  <pageMargins left="0.59055118110236227" right="0.59055118110236227" top="0.39370078740157483" bottom="0.19685039370078741" header="0" footer="0"/>
  <pageSetup paperSize="9" scale="95" orientation="landscape" blackAndWhite="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K40"/>
  <sheetViews>
    <sheetView showGridLines="0" showRowColHeaders="0" zoomScaleNormal="100" workbookViewId="0">
      <pane xSplit="3" ySplit="3" topLeftCell="D4" activePane="bottomRight" state="frozen"/>
      <selection pane="topRight" activeCell="D1" sqref="D1"/>
      <selection pane="bottomLeft" activeCell="A4" sqref="A4"/>
      <selection pane="bottomRight" activeCell="D4" sqref="D4"/>
    </sheetView>
  </sheetViews>
  <sheetFormatPr defaultColWidth="9" defaultRowHeight="18" customHeight="1" x14ac:dyDescent="0.15"/>
  <cols>
    <col min="1" max="1" width="1.625" style="329" customWidth="1"/>
    <col min="2" max="2" width="37.125" style="330" bestFit="1" customWidth="1"/>
    <col min="3" max="3" width="5.625" style="330" customWidth="1"/>
    <col min="4" max="63" width="4.5" style="348" customWidth="1"/>
    <col min="64" max="16384" width="9" style="332"/>
  </cols>
  <sheetData>
    <row r="1" spans="1:63" ht="18" customHeight="1" x14ac:dyDescent="0.15">
      <c r="B1" s="240" t="s">
        <v>702</v>
      </c>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331"/>
      <c r="AS1" s="331"/>
      <c r="AT1" s="331"/>
      <c r="AU1" s="331"/>
      <c r="AV1" s="331"/>
      <c r="AW1" s="331"/>
      <c r="AX1" s="331"/>
      <c r="AY1" s="331"/>
      <c r="AZ1" s="331"/>
      <c r="BA1" s="331"/>
      <c r="BB1" s="331"/>
      <c r="BC1" s="331"/>
      <c r="BD1" s="331"/>
      <c r="BE1" s="331"/>
      <c r="BF1" s="331"/>
      <c r="BG1" s="331"/>
      <c r="BH1" s="331"/>
      <c r="BI1" s="331"/>
      <c r="BJ1" s="331"/>
      <c r="BK1" s="331"/>
    </row>
    <row r="2" spans="1:63" ht="24.95" customHeight="1" x14ac:dyDescent="0.15">
      <c r="B2" s="723" t="s">
        <v>700</v>
      </c>
      <c r="C2" s="727" t="s">
        <v>699</v>
      </c>
      <c r="D2" s="725" t="s">
        <v>663</v>
      </c>
      <c r="E2" s="726"/>
      <c r="F2" s="725" t="s">
        <v>672</v>
      </c>
      <c r="G2" s="726"/>
      <c r="H2" s="725" t="s">
        <v>664</v>
      </c>
      <c r="I2" s="726"/>
      <c r="J2" s="725" t="s">
        <v>665</v>
      </c>
      <c r="K2" s="726"/>
      <c r="L2" s="725" t="s">
        <v>666</v>
      </c>
      <c r="M2" s="726"/>
      <c r="N2" s="725" t="s">
        <v>667</v>
      </c>
      <c r="O2" s="726"/>
      <c r="P2" s="725" t="s">
        <v>668</v>
      </c>
      <c r="Q2" s="726"/>
      <c r="R2" s="725" t="s">
        <v>669</v>
      </c>
      <c r="S2" s="726"/>
      <c r="T2" s="725" t="s">
        <v>670</v>
      </c>
      <c r="U2" s="726"/>
      <c r="V2" s="725" t="s">
        <v>671</v>
      </c>
      <c r="W2" s="726"/>
      <c r="X2" s="725" t="s">
        <v>673</v>
      </c>
      <c r="Y2" s="726"/>
      <c r="Z2" s="725" t="s">
        <v>674</v>
      </c>
      <c r="AA2" s="726"/>
      <c r="AB2" s="725" t="s">
        <v>675</v>
      </c>
      <c r="AC2" s="726"/>
      <c r="AD2" s="725" t="s">
        <v>676</v>
      </c>
      <c r="AE2" s="726"/>
      <c r="AF2" s="725" t="s">
        <v>677</v>
      </c>
      <c r="AG2" s="726"/>
      <c r="AH2" s="725" t="s">
        <v>678</v>
      </c>
      <c r="AI2" s="726"/>
      <c r="AJ2" s="725" t="s">
        <v>679</v>
      </c>
      <c r="AK2" s="726"/>
      <c r="AL2" s="725" t="s">
        <v>680</v>
      </c>
      <c r="AM2" s="726"/>
      <c r="AN2" s="725" t="s">
        <v>681</v>
      </c>
      <c r="AO2" s="726"/>
      <c r="AP2" s="725" t="s">
        <v>682</v>
      </c>
      <c r="AQ2" s="726"/>
      <c r="AR2" s="725" t="s">
        <v>688</v>
      </c>
      <c r="AS2" s="726"/>
      <c r="AT2" s="725" t="s">
        <v>689</v>
      </c>
      <c r="AU2" s="726"/>
      <c r="AV2" s="725" t="s">
        <v>690</v>
      </c>
      <c r="AW2" s="726"/>
      <c r="AX2" s="725" t="s">
        <v>691</v>
      </c>
      <c r="AY2" s="726"/>
      <c r="AZ2" s="725" t="s">
        <v>692</v>
      </c>
      <c r="BA2" s="726"/>
      <c r="BB2" s="725" t="s">
        <v>693</v>
      </c>
      <c r="BC2" s="726"/>
      <c r="BD2" s="725" t="s">
        <v>694</v>
      </c>
      <c r="BE2" s="726"/>
      <c r="BF2" s="725" t="s">
        <v>695</v>
      </c>
      <c r="BG2" s="726"/>
      <c r="BH2" s="725" t="s">
        <v>696</v>
      </c>
      <c r="BI2" s="726"/>
      <c r="BJ2" s="725" t="s">
        <v>697</v>
      </c>
      <c r="BK2" s="726"/>
    </row>
    <row r="3" spans="1:63" ht="24.95" customHeight="1" x14ac:dyDescent="0.15">
      <c r="B3" s="724"/>
      <c r="C3" s="724"/>
      <c r="D3" s="333" t="s">
        <v>662</v>
      </c>
      <c r="E3" s="334" t="s">
        <v>684</v>
      </c>
      <c r="F3" s="333" t="s">
        <v>662</v>
      </c>
      <c r="G3" s="334" t="s">
        <v>684</v>
      </c>
      <c r="H3" s="333" t="s">
        <v>662</v>
      </c>
      <c r="I3" s="334" t="s">
        <v>684</v>
      </c>
      <c r="J3" s="333" t="s">
        <v>662</v>
      </c>
      <c r="K3" s="334" t="s">
        <v>684</v>
      </c>
      <c r="L3" s="333" t="s">
        <v>662</v>
      </c>
      <c r="M3" s="334" t="s">
        <v>684</v>
      </c>
      <c r="N3" s="333" t="s">
        <v>662</v>
      </c>
      <c r="O3" s="334" t="s">
        <v>684</v>
      </c>
      <c r="P3" s="333" t="s">
        <v>662</v>
      </c>
      <c r="Q3" s="334" t="s">
        <v>684</v>
      </c>
      <c r="R3" s="333" t="s">
        <v>662</v>
      </c>
      <c r="S3" s="334" t="s">
        <v>684</v>
      </c>
      <c r="T3" s="333" t="s">
        <v>662</v>
      </c>
      <c r="U3" s="334" t="s">
        <v>684</v>
      </c>
      <c r="V3" s="333" t="s">
        <v>662</v>
      </c>
      <c r="W3" s="334" t="s">
        <v>684</v>
      </c>
      <c r="X3" s="333" t="s">
        <v>662</v>
      </c>
      <c r="Y3" s="334" t="s">
        <v>684</v>
      </c>
      <c r="Z3" s="333" t="s">
        <v>662</v>
      </c>
      <c r="AA3" s="334" t="s">
        <v>684</v>
      </c>
      <c r="AB3" s="333" t="s">
        <v>662</v>
      </c>
      <c r="AC3" s="334" t="s">
        <v>684</v>
      </c>
      <c r="AD3" s="333" t="s">
        <v>662</v>
      </c>
      <c r="AE3" s="334" t="s">
        <v>684</v>
      </c>
      <c r="AF3" s="333" t="s">
        <v>662</v>
      </c>
      <c r="AG3" s="334" t="s">
        <v>684</v>
      </c>
      <c r="AH3" s="333" t="s">
        <v>662</v>
      </c>
      <c r="AI3" s="334" t="s">
        <v>684</v>
      </c>
      <c r="AJ3" s="333" t="s">
        <v>662</v>
      </c>
      <c r="AK3" s="334" t="s">
        <v>684</v>
      </c>
      <c r="AL3" s="333" t="s">
        <v>662</v>
      </c>
      <c r="AM3" s="334" t="s">
        <v>684</v>
      </c>
      <c r="AN3" s="333" t="s">
        <v>662</v>
      </c>
      <c r="AO3" s="334" t="s">
        <v>684</v>
      </c>
      <c r="AP3" s="333" t="s">
        <v>662</v>
      </c>
      <c r="AQ3" s="334" t="s">
        <v>684</v>
      </c>
      <c r="AR3" s="333" t="s">
        <v>662</v>
      </c>
      <c r="AS3" s="334" t="s">
        <v>684</v>
      </c>
      <c r="AT3" s="333" t="s">
        <v>662</v>
      </c>
      <c r="AU3" s="334" t="s">
        <v>684</v>
      </c>
      <c r="AV3" s="333" t="s">
        <v>662</v>
      </c>
      <c r="AW3" s="334" t="s">
        <v>684</v>
      </c>
      <c r="AX3" s="333" t="s">
        <v>662</v>
      </c>
      <c r="AY3" s="334" t="s">
        <v>684</v>
      </c>
      <c r="AZ3" s="333" t="s">
        <v>662</v>
      </c>
      <c r="BA3" s="334" t="s">
        <v>684</v>
      </c>
      <c r="BB3" s="333" t="s">
        <v>662</v>
      </c>
      <c r="BC3" s="334" t="s">
        <v>684</v>
      </c>
      <c r="BD3" s="333" t="s">
        <v>662</v>
      </c>
      <c r="BE3" s="334" t="s">
        <v>684</v>
      </c>
      <c r="BF3" s="333" t="s">
        <v>662</v>
      </c>
      <c r="BG3" s="334" t="s">
        <v>684</v>
      </c>
      <c r="BH3" s="333" t="s">
        <v>662</v>
      </c>
      <c r="BI3" s="334" t="s">
        <v>684</v>
      </c>
      <c r="BJ3" s="333" t="s">
        <v>662</v>
      </c>
      <c r="BK3" s="334" t="s">
        <v>684</v>
      </c>
    </row>
    <row r="4" spans="1:63" ht="18" customHeight="1" x14ac:dyDescent="0.15">
      <c r="A4" s="335"/>
      <c r="B4" s="336" t="s">
        <v>635</v>
      </c>
      <c r="C4" s="337">
        <v>50</v>
      </c>
      <c r="D4" s="327">
        <v>20</v>
      </c>
      <c r="E4" s="338">
        <f>IF(D4="","",IF(D4/$C4*30&gt;30,30,INT(D4/$C4*30)))</f>
        <v>12</v>
      </c>
      <c r="F4" s="327"/>
      <c r="G4" s="338" t="str">
        <f>IF(F4="","",IF(F4/$C4*30&gt;30,30,INT(F4/$C4*30)))</f>
        <v/>
      </c>
      <c r="H4" s="327"/>
      <c r="I4" s="338" t="str">
        <f>IF(H4="","",IF(H4/$C4*30&gt;30,30,INT(H4/$C4*30)))</f>
        <v/>
      </c>
      <c r="J4" s="327"/>
      <c r="K4" s="338" t="str">
        <f t="shared" ref="K4:K30" si="0">IF(J4="","",IF(J4/$C4*30&gt;30,30,INT(J4/$C4*30)))</f>
        <v/>
      </c>
      <c r="L4" s="327"/>
      <c r="M4" s="338" t="str">
        <f t="shared" ref="M4:M30" si="1">IF(L4="","",IF(L4/$C4*30&gt;30,30,INT(L4/$C4*30)))</f>
        <v/>
      </c>
      <c r="N4" s="327"/>
      <c r="O4" s="338" t="str">
        <f t="shared" ref="O4:O30" si="2">IF(N4="","",IF(N4/$C4*30&gt;30,30,INT(N4/$C4*30)))</f>
        <v/>
      </c>
      <c r="P4" s="327"/>
      <c r="Q4" s="338" t="str">
        <f t="shared" ref="Q4:Q30" si="3">IF(P4="","",IF(P4/$C4*30&gt;30,30,INT(P4/$C4*30)))</f>
        <v/>
      </c>
      <c r="R4" s="327"/>
      <c r="S4" s="338" t="str">
        <f t="shared" ref="S4:S30" si="4">IF(R4="","",IF(R4/$C4*30&gt;30,30,INT(R4/$C4*30)))</f>
        <v/>
      </c>
      <c r="T4" s="327"/>
      <c r="U4" s="338" t="str">
        <f t="shared" ref="U4:U30" si="5">IF(T4="","",IF(T4/$C4*30&gt;30,30,INT(T4/$C4*30)))</f>
        <v/>
      </c>
      <c r="V4" s="327"/>
      <c r="W4" s="338" t="str">
        <f t="shared" ref="W4:W30" si="6">IF(V4="","",IF(V4/$C4*30&gt;30,30,INT(V4/$C4*30)))</f>
        <v/>
      </c>
      <c r="X4" s="327"/>
      <c r="Y4" s="338" t="str">
        <f t="shared" ref="Y4:Y30" si="7">IF(X4="","",IF(X4/$C4*30&gt;30,30,INT(X4/$C4*30)))</f>
        <v/>
      </c>
      <c r="Z4" s="327"/>
      <c r="AA4" s="338" t="str">
        <f t="shared" ref="AA4:AA30" si="8">IF(Z4="","",IF(Z4/$C4*30&gt;30,30,INT(Z4/$C4*30)))</f>
        <v/>
      </c>
      <c r="AB4" s="327"/>
      <c r="AC4" s="338" t="str">
        <f t="shared" ref="AC4:AC30" si="9">IF(AB4="","",IF(AB4/$C4*30&gt;30,30,INT(AB4/$C4*30)))</f>
        <v/>
      </c>
      <c r="AD4" s="327"/>
      <c r="AE4" s="338" t="str">
        <f t="shared" ref="AE4:AE30" si="10">IF(AD4="","",IF(AD4/$C4*30&gt;30,30,INT(AD4/$C4*30)))</f>
        <v/>
      </c>
      <c r="AF4" s="327"/>
      <c r="AG4" s="338" t="str">
        <f t="shared" ref="AG4:AG30" si="11">IF(AF4="","",IF(AF4/$C4*30&gt;30,30,INT(AF4/$C4*30)))</f>
        <v/>
      </c>
      <c r="AH4" s="327"/>
      <c r="AI4" s="338" t="str">
        <f t="shared" ref="AI4:AI30" si="12">IF(AH4="","",IF(AH4/$C4*30&gt;30,30,INT(AH4/$C4*30)))</f>
        <v/>
      </c>
      <c r="AJ4" s="327"/>
      <c r="AK4" s="338" t="str">
        <f t="shared" ref="AK4:AK30" si="13">IF(AJ4="","",IF(AJ4/$C4*30&gt;30,30,INT(AJ4/$C4*30)))</f>
        <v/>
      </c>
      <c r="AL4" s="327"/>
      <c r="AM4" s="338" t="str">
        <f t="shared" ref="AM4:AM30" si="14">IF(AL4="","",IF(AL4/$C4*30&gt;30,30,INT(AL4/$C4*30)))</f>
        <v/>
      </c>
      <c r="AN4" s="327"/>
      <c r="AO4" s="338" t="str">
        <f t="shared" ref="AO4:AO30" si="15">IF(AN4="","",IF(AN4/$C4*30&gt;30,30,INT(AN4/$C4*30)))</f>
        <v/>
      </c>
      <c r="AP4" s="327"/>
      <c r="AQ4" s="338" t="str">
        <f>IF(AP4="","",IF(AP4/$C4*30&gt;30,30,INT(AP4/$C4*30)))</f>
        <v/>
      </c>
      <c r="AR4" s="327"/>
      <c r="AS4" s="338" t="str">
        <f>IF(AR4="","",IF(AR4/$C4*30&gt;30,30,INT(AR4/$C4*30)))</f>
        <v/>
      </c>
      <c r="AT4" s="327"/>
      <c r="AU4" s="338" t="str">
        <f t="shared" ref="AU4:AU30" si="16">IF(AT4="","",IF(AT4/$C4*30&gt;30,30,INT(AT4/$C4*30)))</f>
        <v/>
      </c>
      <c r="AV4" s="327"/>
      <c r="AW4" s="338" t="str">
        <f t="shared" ref="AW4:AW30" si="17">IF(AV4="","",IF(AV4/$C4*30&gt;30,30,INT(AV4/$C4*30)))</f>
        <v/>
      </c>
      <c r="AX4" s="327"/>
      <c r="AY4" s="338" t="str">
        <f t="shared" ref="AY4:AY30" si="18">IF(AX4="","",IF(AX4/$C4*30&gt;30,30,INT(AX4/$C4*30)))</f>
        <v/>
      </c>
      <c r="AZ4" s="327"/>
      <c r="BA4" s="338" t="str">
        <f t="shared" ref="BA4:BA30" si="19">IF(AZ4="","",IF(AZ4/$C4*30&gt;30,30,INT(AZ4/$C4*30)))</f>
        <v/>
      </c>
      <c r="BB4" s="327"/>
      <c r="BC4" s="338" t="str">
        <f t="shared" ref="BC4:BC30" si="20">IF(BB4="","",IF(BB4/$C4*30&gt;30,30,INT(BB4/$C4*30)))</f>
        <v/>
      </c>
      <c r="BD4" s="327"/>
      <c r="BE4" s="338" t="str">
        <f t="shared" ref="BE4:BE30" si="21">IF(BD4="","",IF(BD4/$C4*30&gt;30,30,INT(BD4/$C4*30)))</f>
        <v/>
      </c>
      <c r="BF4" s="327"/>
      <c r="BG4" s="338" t="str">
        <f t="shared" ref="BG4:BG30" si="22">IF(BF4="","",IF(BF4/$C4*30&gt;30,30,INT(BF4/$C4*30)))</f>
        <v/>
      </c>
      <c r="BH4" s="327"/>
      <c r="BI4" s="338" t="str">
        <f t="shared" ref="BI4:BI30" si="23">IF(BH4="","",IF(BH4/$C4*30&gt;30,30,INT(BH4/$C4*30)))</f>
        <v/>
      </c>
      <c r="BJ4" s="327"/>
      <c r="BK4" s="338" t="str">
        <f t="shared" ref="BK4:BK30" si="24">IF(BJ4="","",IF(BJ4/$C4*30&gt;30,30,INT(BJ4/$C4*30)))</f>
        <v/>
      </c>
    </row>
    <row r="5" spans="1:63" ht="18" customHeight="1" x14ac:dyDescent="0.15">
      <c r="A5" s="335"/>
      <c r="B5" s="336" t="s">
        <v>636</v>
      </c>
      <c r="C5" s="337">
        <v>12</v>
      </c>
      <c r="D5" s="327"/>
      <c r="E5" s="338" t="str">
        <f t="shared" ref="E5:E30" si="25">IF(D5="","",IF(D5/$C5*30&gt;30,30,INT(D5/$C5*30)))</f>
        <v/>
      </c>
      <c r="F5" s="327">
        <v>10</v>
      </c>
      <c r="G5" s="338">
        <f t="shared" ref="G5:G30" si="26">IF(F5="","",IF(F5/$C5*30&gt;30,30,INT(F5/$C5*30)))</f>
        <v>25</v>
      </c>
      <c r="H5" s="327"/>
      <c r="I5" s="338" t="str">
        <f t="shared" ref="I5:I30" si="27">IF(H5="","",IF(H5/$C5*30&gt;30,30,INT(H5/$C5*30)))</f>
        <v/>
      </c>
      <c r="J5" s="327"/>
      <c r="K5" s="338" t="str">
        <f t="shared" si="0"/>
        <v/>
      </c>
      <c r="L5" s="327"/>
      <c r="M5" s="338" t="str">
        <f t="shared" si="1"/>
        <v/>
      </c>
      <c r="N5" s="327"/>
      <c r="O5" s="338" t="str">
        <f t="shared" si="2"/>
        <v/>
      </c>
      <c r="P5" s="327"/>
      <c r="Q5" s="338" t="str">
        <f t="shared" si="3"/>
        <v/>
      </c>
      <c r="R5" s="327"/>
      <c r="S5" s="338" t="str">
        <f t="shared" si="4"/>
        <v/>
      </c>
      <c r="T5" s="327"/>
      <c r="U5" s="338" t="str">
        <f t="shared" si="5"/>
        <v/>
      </c>
      <c r="V5" s="327"/>
      <c r="W5" s="338" t="str">
        <f t="shared" si="6"/>
        <v/>
      </c>
      <c r="X5" s="327"/>
      <c r="Y5" s="338" t="str">
        <f t="shared" si="7"/>
        <v/>
      </c>
      <c r="Z5" s="327"/>
      <c r="AA5" s="338" t="str">
        <f t="shared" si="8"/>
        <v/>
      </c>
      <c r="AB5" s="327"/>
      <c r="AC5" s="338" t="str">
        <f t="shared" si="9"/>
        <v/>
      </c>
      <c r="AD5" s="327"/>
      <c r="AE5" s="338" t="str">
        <f t="shared" si="10"/>
        <v/>
      </c>
      <c r="AF5" s="327"/>
      <c r="AG5" s="338" t="str">
        <f t="shared" si="11"/>
        <v/>
      </c>
      <c r="AH5" s="327"/>
      <c r="AI5" s="338" t="str">
        <f t="shared" si="12"/>
        <v/>
      </c>
      <c r="AJ5" s="327"/>
      <c r="AK5" s="338" t="str">
        <f t="shared" si="13"/>
        <v/>
      </c>
      <c r="AL5" s="327"/>
      <c r="AM5" s="338" t="str">
        <f t="shared" si="14"/>
        <v/>
      </c>
      <c r="AN5" s="327"/>
      <c r="AO5" s="338" t="str">
        <f t="shared" si="15"/>
        <v/>
      </c>
      <c r="AP5" s="327"/>
      <c r="AQ5" s="338" t="str">
        <f t="shared" ref="AQ5:AS30" si="28">IF(AP5="","",IF(AP5/$C5*30&gt;30,30,INT(AP5/$C5*30)))</f>
        <v/>
      </c>
      <c r="AR5" s="327"/>
      <c r="AS5" s="338" t="str">
        <f t="shared" si="28"/>
        <v/>
      </c>
      <c r="AT5" s="327"/>
      <c r="AU5" s="338" t="str">
        <f t="shared" si="16"/>
        <v/>
      </c>
      <c r="AV5" s="327"/>
      <c r="AW5" s="338" t="str">
        <f t="shared" si="17"/>
        <v/>
      </c>
      <c r="AX5" s="327"/>
      <c r="AY5" s="338" t="str">
        <f t="shared" si="18"/>
        <v/>
      </c>
      <c r="AZ5" s="327"/>
      <c r="BA5" s="338" t="str">
        <f t="shared" si="19"/>
        <v/>
      </c>
      <c r="BB5" s="327"/>
      <c r="BC5" s="338" t="str">
        <f t="shared" si="20"/>
        <v/>
      </c>
      <c r="BD5" s="327"/>
      <c r="BE5" s="338" t="str">
        <f t="shared" si="21"/>
        <v/>
      </c>
      <c r="BF5" s="327"/>
      <c r="BG5" s="338" t="str">
        <f t="shared" si="22"/>
        <v/>
      </c>
      <c r="BH5" s="327"/>
      <c r="BI5" s="338" t="str">
        <f t="shared" si="23"/>
        <v/>
      </c>
      <c r="BJ5" s="327"/>
      <c r="BK5" s="338" t="str">
        <f t="shared" si="24"/>
        <v/>
      </c>
    </row>
    <row r="6" spans="1:63" ht="18" customHeight="1" x14ac:dyDescent="0.15">
      <c r="A6" s="335"/>
      <c r="B6" s="336" t="s">
        <v>637</v>
      </c>
      <c r="C6" s="337">
        <v>50</v>
      </c>
      <c r="D6" s="327"/>
      <c r="E6" s="338" t="str">
        <f t="shared" si="25"/>
        <v/>
      </c>
      <c r="F6" s="327"/>
      <c r="G6" s="338" t="str">
        <f t="shared" si="26"/>
        <v/>
      </c>
      <c r="H6" s="327">
        <v>50</v>
      </c>
      <c r="I6" s="338">
        <f t="shared" si="27"/>
        <v>30</v>
      </c>
      <c r="J6" s="327"/>
      <c r="K6" s="338" t="str">
        <f t="shared" si="0"/>
        <v/>
      </c>
      <c r="L6" s="327"/>
      <c r="M6" s="338" t="str">
        <f t="shared" si="1"/>
        <v/>
      </c>
      <c r="N6" s="327"/>
      <c r="O6" s="338" t="str">
        <f t="shared" si="2"/>
        <v/>
      </c>
      <c r="P6" s="327"/>
      <c r="Q6" s="338" t="str">
        <f t="shared" si="3"/>
        <v/>
      </c>
      <c r="R6" s="327"/>
      <c r="S6" s="338" t="str">
        <f t="shared" si="4"/>
        <v/>
      </c>
      <c r="T6" s="327"/>
      <c r="U6" s="338" t="str">
        <f t="shared" si="5"/>
        <v/>
      </c>
      <c r="V6" s="327"/>
      <c r="W6" s="338" t="str">
        <f t="shared" si="6"/>
        <v/>
      </c>
      <c r="X6" s="327"/>
      <c r="Y6" s="338" t="str">
        <f t="shared" si="7"/>
        <v/>
      </c>
      <c r="Z6" s="327"/>
      <c r="AA6" s="338" t="str">
        <f t="shared" si="8"/>
        <v/>
      </c>
      <c r="AB6" s="327"/>
      <c r="AC6" s="338" t="str">
        <f t="shared" si="9"/>
        <v/>
      </c>
      <c r="AD6" s="327"/>
      <c r="AE6" s="338" t="str">
        <f t="shared" si="10"/>
        <v/>
      </c>
      <c r="AF6" s="327"/>
      <c r="AG6" s="338" t="str">
        <f t="shared" si="11"/>
        <v/>
      </c>
      <c r="AH6" s="327"/>
      <c r="AI6" s="338" t="str">
        <f t="shared" si="12"/>
        <v/>
      </c>
      <c r="AJ6" s="327"/>
      <c r="AK6" s="338" t="str">
        <f t="shared" si="13"/>
        <v/>
      </c>
      <c r="AL6" s="327"/>
      <c r="AM6" s="338" t="str">
        <f t="shared" si="14"/>
        <v/>
      </c>
      <c r="AN6" s="327"/>
      <c r="AO6" s="338" t="str">
        <f t="shared" si="15"/>
        <v/>
      </c>
      <c r="AP6" s="327"/>
      <c r="AQ6" s="338" t="str">
        <f t="shared" si="28"/>
        <v/>
      </c>
      <c r="AR6" s="327"/>
      <c r="AS6" s="338" t="str">
        <f t="shared" si="28"/>
        <v/>
      </c>
      <c r="AT6" s="327"/>
      <c r="AU6" s="338" t="str">
        <f t="shared" si="16"/>
        <v/>
      </c>
      <c r="AV6" s="327"/>
      <c r="AW6" s="338" t="str">
        <f t="shared" si="17"/>
        <v/>
      </c>
      <c r="AX6" s="327"/>
      <c r="AY6" s="338" t="str">
        <f t="shared" si="18"/>
        <v/>
      </c>
      <c r="AZ6" s="327"/>
      <c r="BA6" s="338" t="str">
        <f t="shared" si="19"/>
        <v/>
      </c>
      <c r="BB6" s="327"/>
      <c r="BC6" s="338" t="str">
        <f t="shared" si="20"/>
        <v/>
      </c>
      <c r="BD6" s="327"/>
      <c r="BE6" s="338" t="str">
        <f t="shared" si="21"/>
        <v/>
      </c>
      <c r="BF6" s="327"/>
      <c r="BG6" s="338" t="str">
        <f t="shared" si="22"/>
        <v/>
      </c>
      <c r="BH6" s="327"/>
      <c r="BI6" s="338" t="str">
        <f t="shared" si="23"/>
        <v/>
      </c>
      <c r="BJ6" s="327"/>
      <c r="BK6" s="338" t="str">
        <f t="shared" si="24"/>
        <v/>
      </c>
    </row>
    <row r="7" spans="1:63" ht="18" customHeight="1" x14ac:dyDescent="0.15">
      <c r="A7" s="335"/>
      <c r="B7" s="336" t="s">
        <v>638</v>
      </c>
      <c r="C7" s="337">
        <v>50</v>
      </c>
      <c r="D7" s="327"/>
      <c r="E7" s="338" t="str">
        <f t="shared" si="25"/>
        <v/>
      </c>
      <c r="F7" s="327"/>
      <c r="G7" s="338" t="str">
        <f t="shared" si="26"/>
        <v/>
      </c>
      <c r="H7" s="327"/>
      <c r="I7" s="338" t="str">
        <f t="shared" si="27"/>
        <v/>
      </c>
      <c r="J7" s="327">
        <v>31</v>
      </c>
      <c r="K7" s="338">
        <f t="shared" si="0"/>
        <v>18</v>
      </c>
      <c r="L7" s="327"/>
      <c r="M7" s="338" t="str">
        <f t="shared" si="1"/>
        <v/>
      </c>
      <c r="N7" s="327"/>
      <c r="O7" s="338" t="str">
        <f t="shared" si="2"/>
        <v/>
      </c>
      <c r="P7" s="327"/>
      <c r="Q7" s="338" t="str">
        <f t="shared" si="3"/>
        <v/>
      </c>
      <c r="R7" s="327"/>
      <c r="S7" s="338" t="str">
        <f t="shared" si="4"/>
        <v/>
      </c>
      <c r="T7" s="327"/>
      <c r="U7" s="338" t="str">
        <f t="shared" si="5"/>
        <v/>
      </c>
      <c r="V7" s="327"/>
      <c r="W7" s="338" t="str">
        <f t="shared" si="6"/>
        <v/>
      </c>
      <c r="X7" s="327"/>
      <c r="Y7" s="338" t="str">
        <f t="shared" si="7"/>
        <v/>
      </c>
      <c r="Z7" s="327"/>
      <c r="AA7" s="338" t="str">
        <f t="shared" si="8"/>
        <v/>
      </c>
      <c r="AB7" s="327"/>
      <c r="AC7" s="338" t="str">
        <f t="shared" si="9"/>
        <v/>
      </c>
      <c r="AD7" s="327"/>
      <c r="AE7" s="338" t="str">
        <f t="shared" si="10"/>
        <v/>
      </c>
      <c r="AF7" s="327"/>
      <c r="AG7" s="338" t="str">
        <f t="shared" si="11"/>
        <v/>
      </c>
      <c r="AH7" s="327"/>
      <c r="AI7" s="338" t="str">
        <f t="shared" si="12"/>
        <v/>
      </c>
      <c r="AJ7" s="327"/>
      <c r="AK7" s="338" t="str">
        <f t="shared" si="13"/>
        <v/>
      </c>
      <c r="AL7" s="327"/>
      <c r="AM7" s="338" t="str">
        <f t="shared" si="14"/>
        <v/>
      </c>
      <c r="AN7" s="327"/>
      <c r="AO7" s="338" t="str">
        <f t="shared" si="15"/>
        <v/>
      </c>
      <c r="AP7" s="327"/>
      <c r="AQ7" s="338" t="str">
        <f t="shared" si="28"/>
        <v/>
      </c>
      <c r="AR7" s="327"/>
      <c r="AS7" s="338" t="str">
        <f t="shared" si="28"/>
        <v/>
      </c>
      <c r="AT7" s="327"/>
      <c r="AU7" s="338" t="str">
        <f t="shared" si="16"/>
        <v/>
      </c>
      <c r="AV7" s="327"/>
      <c r="AW7" s="338" t="str">
        <f t="shared" si="17"/>
        <v/>
      </c>
      <c r="AX7" s="327"/>
      <c r="AY7" s="338" t="str">
        <f t="shared" si="18"/>
        <v/>
      </c>
      <c r="AZ7" s="327"/>
      <c r="BA7" s="338" t="str">
        <f t="shared" si="19"/>
        <v/>
      </c>
      <c r="BB7" s="327"/>
      <c r="BC7" s="338" t="str">
        <f t="shared" si="20"/>
        <v/>
      </c>
      <c r="BD7" s="327"/>
      <c r="BE7" s="338" t="str">
        <f t="shared" si="21"/>
        <v/>
      </c>
      <c r="BF7" s="327"/>
      <c r="BG7" s="338" t="str">
        <f t="shared" si="22"/>
        <v/>
      </c>
      <c r="BH7" s="327"/>
      <c r="BI7" s="338" t="str">
        <f t="shared" si="23"/>
        <v/>
      </c>
      <c r="BJ7" s="327"/>
      <c r="BK7" s="338" t="str">
        <f t="shared" si="24"/>
        <v/>
      </c>
    </row>
    <row r="8" spans="1:63" ht="18" customHeight="1" x14ac:dyDescent="0.15">
      <c r="A8" s="335"/>
      <c r="B8" s="336" t="s">
        <v>639</v>
      </c>
      <c r="C8" s="337">
        <v>50</v>
      </c>
      <c r="D8" s="327"/>
      <c r="E8" s="338" t="str">
        <f t="shared" si="25"/>
        <v/>
      </c>
      <c r="F8" s="327"/>
      <c r="G8" s="338" t="str">
        <f t="shared" si="26"/>
        <v/>
      </c>
      <c r="H8" s="327"/>
      <c r="I8" s="338" t="str">
        <f t="shared" si="27"/>
        <v/>
      </c>
      <c r="J8" s="327"/>
      <c r="K8" s="338" t="str">
        <f t="shared" si="0"/>
        <v/>
      </c>
      <c r="L8" s="327">
        <v>80</v>
      </c>
      <c r="M8" s="338">
        <f t="shared" si="1"/>
        <v>30</v>
      </c>
      <c r="N8" s="327"/>
      <c r="O8" s="338" t="str">
        <f t="shared" si="2"/>
        <v/>
      </c>
      <c r="P8" s="327"/>
      <c r="Q8" s="338" t="str">
        <f t="shared" si="3"/>
        <v/>
      </c>
      <c r="R8" s="327"/>
      <c r="S8" s="338" t="str">
        <f t="shared" si="4"/>
        <v/>
      </c>
      <c r="T8" s="327"/>
      <c r="U8" s="338" t="str">
        <f t="shared" si="5"/>
        <v/>
      </c>
      <c r="V8" s="327"/>
      <c r="W8" s="338" t="str">
        <f t="shared" si="6"/>
        <v/>
      </c>
      <c r="X8" s="327"/>
      <c r="Y8" s="338" t="str">
        <f t="shared" si="7"/>
        <v/>
      </c>
      <c r="Z8" s="327"/>
      <c r="AA8" s="338" t="str">
        <f t="shared" si="8"/>
        <v/>
      </c>
      <c r="AB8" s="327"/>
      <c r="AC8" s="338" t="str">
        <f t="shared" si="9"/>
        <v/>
      </c>
      <c r="AD8" s="327"/>
      <c r="AE8" s="338" t="str">
        <f t="shared" si="10"/>
        <v/>
      </c>
      <c r="AF8" s="327"/>
      <c r="AG8" s="338" t="str">
        <f t="shared" si="11"/>
        <v/>
      </c>
      <c r="AH8" s="327"/>
      <c r="AI8" s="338" t="str">
        <f t="shared" si="12"/>
        <v/>
      </c>
      <c r="AJ8" s="327"/>
      <c r="AK8" s="338" t="str">
        <f t="shared" si="13"/>
        <v/>
      </c>
      <c r="AL8" s="327"/>
      <c r="AM8" s="338" t="str">
        <f t="shared" si="14"/>
        <v/>
      </c>
      <c r="AN8" s="327"/>
      <c r="AO8" s="338" t="str">
        <f t="shared" si="15"/>
        <v/>
      </c>
      <c r="AP8" s="327"/>
      <c r="AQ8" s="338" t="str">
        <f t="shared" si="28"/>
        <v/>
      </c>
      <c r="AR8" s="327"/>
      <c r="AS8" s="338" t="str">
        <f t="shared" si="28"/>
        <v/>
      </c>
      <c r="AT8" s="327"/>
      <c r="AU8" s="338" t="str">
        <f t="shared" si="16"/>
        <v/>
      </c>
      <c r="AV8" s="327"/>
      <c r="AW8" s="338" t="str">
        <f t="shared" si="17"/>
        <v/>
      </c>
      <c r="AX8" s="327"/>
      <c r="AY8" s="338" t="str">
        <f t="shared" si="18"/>
        <v/>
      </c>
      <c r="AZ8" s="327"/>
      <c r="BA8" s="338" t="str">
        <f t="shared" si="19"/>
        <v/>
      </c>
      <c r="BB8" s="327"/>
      <c r="BC8" s="338" t="str">
        <f t="shared" si="20"/>
        <v/>
      </c>
      <c r="BD8" s="327"/>
      <c r="BE8" s="338" t="str">
        <f t="shared" si="21"/>
        <v/>
      </c>
      <c r="BF8" s="327"/>
      <c r="BG8" s="338" t="str">
        <f t="shared" si="22"/>
        <v/>
      </c>
      <c r="BH8" s="327"/>
      <c r="BI8" s="338" t="str">
        <f t="shared" si="23"/>
        <v/>
      </c>
      <c r="BJ8" s="327"/>
      <c r="BK8" s="338" t="str">
        <f t="shared" si="24"/>
        <v/>
      </c>
    </row>
    <row r="9" spans="1:63" ht="18" customHeight="1" x14ac:dyDescent="0.15">
      <c r="A9" s="335"/>
      <c r="B9" s="336" t="s">
        <v>640</v>
      </c>
      <c r="C9" s="337">
        <v>20</v>
      </c>
      <c r="D9" s="327"/>
      <c r="E9" s="338" t="str">
        <f t="shared" si="25"/>
        <v/>
      </c>
      <c r="F9" s="327"/>
      <c r="G9" s="338" t="str">
        <f t="shared" si="26"/>
        <v/>
      </c>
      <c r="H9" s="327"/>
      <c r="I9" s="338" t="str">
        <f t="shared" si="27"/>
        <v/>
      </c>
      <c r="J9" s="327"/>
      <c r="K9" s="338" t="str">
        <f t="shared" si="0"/>
        <v/>
      </c>
      <c r="L9" s="327"/>
      <c r="M9" s="338" t="str">
        <f t="shared" si="1"/>
        <v/>
      </c>
      <c r="N9" s="327"/>
      <c r="O9" s="338" t="str">
        <f t="shared" si="2"/>
        <v/>
      </c>
      <c r="P9" s="327"/>
      <c r="Q9" s="338" t="str">
        <f t="shared" si="3"/>
        <v/>
      </c>
      <c r="R9" s="327"/>
      <c r="S9" s="338" t="str">
        <f t="shared" si="4"/>
        <v/>
      </c>
      <c r="T9" s="327"/>
      <c r="U9" s="338" t="str">
        <f t="shared" si="5"/>
        <v/>
      </c>
      <c r="V9" s="327"/>
      <c r="W9" s="338" t="str">
        <f t="shared" si="6"/>
        <v/>
      </c>
      <c r="X9" s="327"/>
      <c r="Y9" s="338" t="str">
        <f t="shared" si="7"/>
        <v/>
      </c>
      <c r="Z9" s="327"/>
      <c r="AA9" s="338" t="str">
        <f t="shared" si="8"/>
        <v/>
      </c>
      <c r="AB9" s="327"/>
      <c r="AC9" s="338" t="str">
        <f t="shared" si="9"/>
        <v/>
      </c>
      <c r="AD9" s="327"/>
      <c r="AE9" s="338" t="str">
        <f t="shared" si="10"/>
        <v/>
      </c>
      <c r="AF9" s="327"/>
      <c r="AG9" s="338" t="str">
        <f t="shared" si="11"/>
        <v/>
      </c>
      <c r="AH9" s="327"/>
      <c r="AI9" s="338" t="str">
        <f t="shared" si="12"/>
        <v/>
      </c>
      <c r="AJ9" s="327"/>
      <c r="AK9" s="338" t="str">
        <f t="shared" si="13"/>
        <v/>
      </c>
      <c r="AL9" s="327"/>
      <c r="AM9" s="338" t="str">
        <f t="shared" si="14"/>
        <v/>
      </c>
      <c r="AN9" s="327"/>
      <c r="AO9" s="338" t="str">
        <f t="shared" si="15"/>
        <v/>
      </c>
      <c r="AP9" s="327"/>
      <c r="AQ9" s="338" t="str">
        <f t="shared" si="28"/>
        <v/>
      </c>
      <c r="AR9" s="327"/>
      <c r="AS9" s="338" t="str">
        <f t="shared" si="28"/>
        <v/>
      </c>
      <c r="AT9" s="327"/>
      <c r="AU9" s="338" t="str">
        <f t="shared" si="16"/>
        <v/>
      </c>
      <c r="AV9" s="327"/>
      <c r="AW9" s="338" t="str">
        <f t="shared" si="17"/>
        <v/>
      </c>
      <c r="AX9" s="327"/>
      <c r="AY9" s="338" t="str">
        <f t="shared" si="18"/>
        <v/>
      </c>
      <c r="AZ9" s="327"/>
      <c r="BA9" s="338" t="str">
        <f t="shared" si="19"/>
        <v/>
      </c>
      <c r="BB9" s="327"/>
      <c r="BC9" s="338" t="str">
        <f t="shared" si="20"/>
        <v/>
      </c>
      <c r="BD9" s="327"/>
      <c r="BE9" s="338" t="str">
        <f t="shared" si="21"/>
        <v/>
      </c>
      <c r="BF9" s="327"/>
      <c r="BG9" s="338" t="str">
        <f t="shared" si="22"/>
        <v/>
      </c>
      <c r="BH9" s="327"/>
      <c r="BI9" s="338" t="str">
        <f t="shared" si="23"/>
        <v/>
      </c>
      <c r="BJ9" s="327"/>
      <c r="BK9" s="338" t="str">
        <f t="shared" si="24"/>
        <v/>
      </c>
    </row>
    <row r="10" spans="1:63" ht="18" customHeight="1" x14ac:dyDescent="0.15">
      <c r="A10" s="335"/>
      <c r="B10" s="336" t="s">
        <v>641</v>
      </c>
      <c r="C10" s="337">
        <v>50</v>
      </c>
      <c r="D10" s="327"/>
      <c r="E10" s="338" t="str">
        <f t="shared" si="25"/>
        <v/>
      </c>
      <c r="F10" s="327"/>
      <c r="G10" s="338" t="str">
        <f t="shared" si="26"/>
        <v/>
      </c>
      <c r="H10" s="327"/>
      <c r="I10" s="338" t="str">
        <f t="shared" si="27"/>
        <v/>
      </c>
      <c r="J10" s="327"/>
      <c r="K10" s="338" t="str">
        <f t="shared" si="0"/>
        <v/>
      </c>
      <c r="L10" s="327"/>
      <c r="M10" s="338" t="str">
        <f t="shared" si="1"/>
        <v/>
      </c>
      <c r="N10" s="327"/>
      <c r="O10" s="338" t="str">
        <f t="shared" si="2"/>
        <v/>
      </c>
      <c r="P10" s="327"/>
      <c r="Q10" s="338" t="str">
        <f t="shared" si="3"/>
        <v/>
      </c>
      <c r="R10" s="327"/>
      <c r="S10" s="338" t="str">
        <f t="shared" si="4"/>
        <v/>
      </c>
      <c r="T10" s="327"/>
      <c r="U10" s="338" t="str">
        <f t="shared" si="5"/>
        <v/>
      </c>
      <c r="V10" s="327"/>
      <c r="W10" s="338" t="str">
        <f t="shared" si="6"/>
        <v/>
      </c>
      <c r="X10" s="327"/>
      <c r="Y10" s="338" t="str">
        <f t="shared" si="7"/>
        <v/>
      </c>
      <c r="Z10" s="327"/>
      <c r="AA10" s="338" t="str">
        <f t="shared" si="8"/>
        <v/>
      </c>
      <c r="AB10" s="327"/>
      <c r="AC10" s="338" t="str">
        <f t="shared" si="9"/>
        <v/>
      </c>
      <c r="AD10" s="327"/>
      <c r="AE10" s="338" t="str">
        <f t="shared" si="10"/>
        <v/>
      </c>
      <c r="AF10" s="327"/>
      <c r="AG10" s="338" t="str">
        <f t="shared" si="11"/>
        <v/>
      </c>
      <c r="AH10" s="327"/>
      <c r="AI10" s="338" t="str">
        <f t="shared" si="12"/>
        <v/>
      </c>
      <c r="AJ10" s="327"/>
      <c r="AK10" s="338" t="str">
        <f t="shared" si="13"/>
        <v/>
      </c>
      <c r="AL10" s="327"/>
      <c r="AM10" s="338" t="str">
        <f t="shared" si="14"/>
        <v/>
      </c>
      <c r="AN10" s="327"/>
      <c r="AO10" s="338" t="str">
        <f t="shared" si="15"/>
        <v/>
      </c>
      <c r="AP10" s="327"/>
      <c r="AQ10" s="338" t="str">
        <f t="shared" si="28"/>
        <v/>
      </c>
      <c r="AR10" s="327"/>
      <c r="AS10" s="338" t="str">
        <f t="shared" si="28"/>
        <v/>
      </c>
      <c r="AT10" s="327"/>
      <c r="AU10" s="338" t="str">
        <f t="shared" si="16"/>
        <v/>
      </c>
      <c r="AV10" s="327"/>
      <c r="AW10" s="338" t="str">
        <f t="shared" si="17"/>
        <v/>
      </c>
      <c r="AX10" s="327"/>
      <c r="AY10" s="338" t="str">
        <f t="shared" si="18"/>
        <v/>
      </c>
      <c r="AZ10" s="327"/>
      <c r="BA10" s="338" t="str">
        <f t="shared" si="19"/>
        <v/>
      </c>
      <c r="BB10" s="327"/>
      <c r="BC10" s="338" t="str">
        <f t="shared" si="20"/>
        <v/>
      </c>
      <c r="BD10" s="327"/>
      <c r="BE10" s="338" t="str">
        <f t="shared" si="21"/>
        <v/>
      </c>
      <c r="BF10" s="327"/>
      <c r="BG10" s="338" t="str">
        <f t="shared" si="22"/>
        <v/>
      </c>
      <c r="BH10" s="327"/>
      <c r="BI10" s="338" t="str">
        <f t="shared" si="23"/>
        <v/>
      </c>
      <c r="BJ10" s="327"/>
      <c r="BK10" s="338" t="str">
        <f t="shared" si="24"/>
        <v/>
      </c>
    </row>
    <row r="11" spans="1:63" ht="18" customHeight="1" x14ac:dyDescent="0.15">
      <c r="A11" s="335"/>
      <c r="B11" s="336" t="s">
        <v>642</v>
      </c>
      <c r="C11" s="337">
        <v>20</v>
      </c>
      <c r="D11" s="327"/>
      <c r="E11" s="338" t="str">
        <f t="shared" si="25"/>
        <v/>
      </c>
      <c r="F11" s="327"/>
      <c r="G11" s="338" t="str">
        <f t="shared" si="26"/>
        <v/>
      </c>
      <c r="H11" s="327"/>
      <c r="I11" s="338" t="str">
        <f t="shared" si="27"/>
        <v/>
      </c>
      <c r="J11" s="327"/>
      <c r="K11" s="338" t="str">
        <f t="shared" si="0"/>
        <v/>
      </c>
      <c r="L11" s="327"/>
      <c r="M11" s="338" t="str">
        <f t="shared" si="1"/>
        <v/>
      </c>
      <c r="N11" s="327"/>
      <c r="O11" s="338" t="str">
        <f t="shared" si="2"/>
        <v/>
      </c>
      <c r="P11" s="327"/>
      <c r="Q11" s="338" t="str">
        <f t="shared" si="3"/>
        <v/>
      </c>
      <c r="R11" s="327"/>
      <c r="S11" s="338" t="str">
        <f t="shared" si="4"/>
        <v/>
      </c>
      <c r="T11" s="327"/>
      <c r="U11" s="338" t="str">
        <f t="shared" si="5"/>
        <v/>
      </c>
      <c r="V11" s="327"/>
      <c r="W11" s="338" t="str">
        <f t="shared" si="6"/>
        <v/>
      </c>
      <c r="X11" s="327"/>
      <c r="Y11" s="338" t="str">
        <f t="shared" si="7"/>
        <v/>
      </c>
      <c r="Z11" s="327"/>
      <c r="AA11" s="338" t="str">
        <f t="shared" si="8"/>
        <v/>
      </c>
      <c r="AB11" s="327"/>
      <c r="AC11" s="338" t="str">
        <f t="shared" si="9"/>
        <v/>
      </c>
      <c r="AD11" s="327"/>
      <c r="AE11" s="338" t="str">
        <f t="shared" si="10"/>
        <v/>
      </c>
      <c r="AF11" s="327"/>
      <c r="AG11" s="338" t="str">
        <f t="shared" si="11"/>
        <v/>
      </c>
      <c r="AH11" s="327"/>
      <c r="AI11" s="338" t="str">
        <f t="shared" si="12"/>
        <v/>
      </c>
      <c r="AJ11" s="327"/>
      <c r="AK11" s="338" t="str">
        <f t="shared" si="13"/>
        <v/>
      </c>
      <c r="AL11" s="327"/>
      <c r="AM11" s="338" t="str">
        <f t="shared" si="14"/>
        <v/>
      </c>
      <c r="AN11" s="327"/>
      <c r="AO11" s="338" t="str">
        <f t="shared" si="15"/>
        <v/>
      </c>
      <c r="AP11" s="327"/>
      <c r="AQ11" s="338" t="str">
        <f t="shared" si="28"/>
        <v/>
      </c>
      <c r="AR11" s="327"/>
      <c r="AS11" s="338" t="str">
        <f t="shared" si="28"/>
        <v/>
      </c>
      <c r="AT11" s="327"/>
      <c r="AU11" s="338" t="str">
        <f t="shared" si="16"/>
        <v/>
      </c>
      <c r="AV11" s="327"/>
      <c r="AW11" s="338" t="str">
        <f t="shared" si="17"/>
        <v/>
      </c>
      <c r="AX11" s="327"/>
      <c r="AY11" s="338" t="str">
        <f t="shared" si="18"/>
        <v/>
      </c>
      <c r="AZ11" s="327"/>
      <c r="BA11" s="338" t="str">
        <f t="shared" si="19"/>
        <v/>
      </c>
      <c r="BB11" s="327"/>
      <c r="BC11" s="338" t="str">
        <f t="shared" si="20"/>
        <v/>
      </c>
      <c r="BD11" s="327"/>
      <c r="BE11" s="338" t="str">
        <f t="shared" si="21"/>
        <v/>
      </c>
      <c r="BF11" s="327"/>
      <c r="BG11" s="338" t="str">
        <f t="shared" si="22"/>
        <v/>
      </c>
      <c r="BH11" s="327"/>
      <c r="BI11" s="338" t="str">
        <f t="shared" si="23"/>
        <v/>
      </c>
      <c r="BJ11" s="327"/>
      <c r="BK11" s="338" t="str">
        <f t="shared" si="24"/>
        <v/>
      </c>
    </row>
    <row r="12" spans="1:63" ht="18" customHeight="1" x14ac:dyDescent="0.15">
      <c r="A12" s="335"/>
      <c r="B12" s="336" t="s">
        <v>643</v>
      </c>
      <c r="C12" s="337">
        <v>20</v>
      </c>
      <c r="D12" s="327"/>
      <c r="E12" s="338" t="str">
        <f t="shared" si="25"/>
        <v/>
      </c>
      <c r="F12" s="327"/>
      <c r="G12" s="338" t="str">
        <f t="shared" si="26"/>
        <v/>
      </c>
      <c r="H12" s="327"/>
      <c r="I12" s="338" t="str">
        <f t="shared" si="27"/>
        <v/>
      </c>
      <c r="J12" s="327"/>
      <c r="K12" s="338" t="str">
        <f t="shared" si="0"/>
        <v/>
      </c>
      <c r="L12" s="327"/>
      <c r="M12" s="338" t="str">
        <f t="shared" si="1"/>
        <v/>
      </c>
      <c r="N12" s="327"/>
      <c r="O12" s="338" t="str">
        <f t="shared" si="2"/>
        <v/>
      </c>
      <c r="P12" s="327"/>
      <c r="Q12" s="338" t="str">
        <f t="shared" si="3"/>
        <v/>
      </c>
      <c r="R12" s="327"/>
      <c r="S12" s="338" t="str">
        <f t="shared" si="4"/>
        <v/>
      </c>
      <c r="T12" s="327"/>
      <c r="U12" s="338" t="str">
        <f t="shared" si="5"/>
        <v/>
      </c>
      <c r="V12" s="327"/>
      <c r="W12" s="338" t="str">
        <f t="shared" si="6"/>
        <v/>
      </c>
      <c r="X12" s="327"/>
      <c r="Y12" s="338" t="str">
        <f t="shared" si="7"/>
        <v/>
      </c>
      <c r="Z12" s="327"/>
      <c r="AA12" s="338" t="str">
        <f t="shared" si="8"/>
        <v/>
      </c>
      <c r="AB12" s="327"/>
      <c r="AC12" s="338" t="str">
        <f t="shared" si="9"/>
        <v/>
      </c>
      <c r="AD12" s="327"/>
      <c r="AE12" s="338" t="str">
        <f t="shared" si="10"/>
        <v/>
      </c>
      <c r="AF12" s="327"/>
      <c r="AG12" s="338" t="str">
        <f t="shared" si="11"/>
        <v/>
      </c>
      <c r="AH12" s="327"/>
      <c r="AI12" s="338" t="str">
        <f t="shared" si="12"/>
        <v/>
      </c>
      <c r="AJ12" s="327"/>
      <c r="AK12" s="338" t="str">
        <f t="shared" si="13"/>
        <v/>
      </c>
      <c r="AL12" s="327"/>
      <c r="AM12" s="338" t="str">
        <f t="shared" si="14"/>
        <v/>
      </c>
      <c r="AN12" s="327"/>
      <c r="AO12" s="338" t="str">
        <f t="shared" si="15"/>
        <v/>
      </c>
      <c r="AP12" s="327"/>
      <c r="AQ12" s="338" t="str">
        <f t="shared" si="28"/>
        <v/>
      </c>
      <c r="AR12" s="327"/>
      <c r="AS12" s="338" t="str">
        <f t="shared" si="28"/>
        <v/>
      </c>
      <c r="AT12" s="327"/>
      <c r="AU12" s="338" t="str">
        <f t="shared" si="16"/>
        <v/>
      </c>
      <c r="AV12" s="327"/>
      <c r="AW12" s="338" t="str">
        <f t="shared" si="17"/>
        <v/>
      </c>
      <c r="AX12" s="327"/>
      <c r="AY12" s="338" t="str">
        <f t="shared" si="18"/>
        <v/>
      </c>
      <c r="AZ12" s="327"/>
      <c r="BA12" s="338" t="str">
        <f t="shared" si="19"/>
        <v/>
      </c>
      <c r="BB12" s="327"/>
      <c r="BC12" s="338" t="str">
        <f t="shared" si="20"/>
        <v/>
      </c>
      <c r="BD12" s="327"/>
      <c r="BE12" s="338" t="str">
        <f t="shared" si="21"/>
        <v/>
      </c>
      <c r="BF12" s="327"/>
      <c r="BG12" s="338" t="str">
        <f t="shared" si="22"/>
        <v/>
      </c>
      <c r="BH12" s="327"/>
      <c r="BI12" s="338" t="str">
        <f t="shared" si="23"/>
        <v/>
      </c>
      <c r="BJ12" s="327"/>
      <c r="BK12" s="338" t="str">
        <f t="shared" si="24"/>
        <v/>
      </c>
    </row>
    <row r="13" spans="1:63" ht="18" customHeight="1" x14ac:dyDescent="0.15">
      <c r="A13" s="335"/>
      <c r="B13" s="336" t="s">
        <v>644</v>
      </c>
      <c r="C13" s="337">
        <v>25</v>
      </c>
      <c r="D13" s="327"/>
      <c r="E13" s="338" t="str">
        <f t="shared" si="25"/>
        <v/>
      </c>
      <c r="F13" s="327"/>
      <c r="G13" s="338" t="str">
        <f t="shared" si="26"/>
        <v/>
      </c>
      <c r="H13" s="327"/>
      <c r="I13" s="338" t="str">
        <f t="shared" si="27"/>
        <v/>
      </c>
      <c r="J13" s="327"/>
      <c r="K13" s="338" t="str">
        <f t="shared" si="0"/>
        <v/>
      </c>
      <c r="L13" s="327"/>
      <c r="M13" s="338" t="str">
        <f t="shared" si="1"/>
        <v/>
      </c>
      <c r="N13" s="327"/>
      <c r="O13" s="338" t="str">
        <f t="shared" si="2"/>
        <v/>
      </c>
      <c r="P13" s="327"/>
      <c r="Q13" s="338" t="str">
        <f t="shared" si="3"/>
        <v/>
      </c>
      <c r="R13" s="327"/>
      <c r="S13" s="338" t="str">
        <f t="shared" si="4"/>
        <v/>
      </c>
      <c r="T13" s="327"/>
      <c r="U13" s="338" t="str">
        <f t="shared" si="5"/>
        <v/>
      </c>
      <c r="V13" s="327"/>
      <c r="W13" s="338" t="str">
        <f t="shared" si="6"/>
        <v/>
      </c>
      <c r="X13" s="327"/>
      <c r="Y13" s="338" t="str">
        <f t="shared" si="7"/>
        <v/>
      </c>
      <c r="Z13" s="327"/>
      <c r="AA13" s="338" t="str">
        <f t="shared" si="8"/>
        <v/>
      </c>
      <c r="AB13" s="327"/>
      <c r="AC13" s="338" t="str">
        <f t="shared" si="9"/>
        <v/>
      </c>
      <c r="AD13" s="327"/>
      <c r="AE13" s="338" t="str">
        <f t="shared" si="10"/>
        <v/>
      </c>
      <c r="AF13" s="327"/>
      <c r="AG13" s="338" t="str">
        <f t="shared" si="11"/>
        <v/>
      </c>
      <c r="AH13" s="327"/>
      <c r="AI13" s="338" t="str">
        <f t="shared" si="12"/>
        <v/>
      </c>
      <c r="AJ13" s="327"/>
      <c r="AK13" s="338" t="str">
        <f t="shared" si="13"/>
        <v/>
      </c>
      <c r="AL13" s="327"/>
      <c r="AM13" s="338" t="str">
        <f t="shared" si="14"/>
        <v/>
      </c>
      <c r="AN13" s="327"/>
      <c r="AO13" s="338" t="str">
        <f t="shared" si="15"/>
        <v/>
      </c>
      <c r="AP13" s="327"/>
      <c r="AQ13" s="338" t="str">
        <f t="shared" si="28"/>
        <v/>
      </c>
      <c r="AR13" s="327"/>
      <c r="AS13" s="338" t="str">
        <f t="shared" si="28"/>
        <v/>
      </c>
      <c r="AT13" s="327"/>
      <c r="AU13" s="338" t="str">
        <f t="shared" si="16"/>
        <v/>
      </c>
      <c r="AV13" s="327"/>
      <c r="AW13" s="338" t="str">
        <f t="shared" si="17"/>
        <v/>
      </c>
      <c r="AX13" s="327"/>
      <c r="AY13" s="338" t="str">
        <f t="shared" si="18"/>
        <v/>
      </c>
      <c r="AZ13" s="327"/>
      <c r="BA13" s="338" t="str">
        <f t="shared" si="19"/>
        <v/>
      </c>
      <c r="BB13" s="327"/>
      <c r="BC13" s="338" t="str">
        <f t="shared" si="20"/>
        <v/>
      </c>
      <c r="BD13" s="327"/>
      <c r="BE13" s="338" t="str">
        <f t="shared" si="21"/>
        <v/>
      </c>
      <c r="BF13" s="327"/>
      <c r="BG13" s="338" t="str">
        <f t="shared" si="22"/>
        <v/>
      </c>
      <c r="BH13" s="327"/>
      <c r="BI13" s="338" t="str">
        <f t="shared" si="23"/>
        <v/>
      </c>
      <c r="BJ13" s="327"/>
      <c r="BK13" s="338" t="str">
        <f t="shared" si="24"/>
        <v/>
      </c>
    </row>
    <row r="14" spans="1:63" ht="18" customHeight="1" x14ac:dyDescent="0.15">
      <c r="A14" s="335"/>
      <c r="B14" s="336" t="s">
        <v>645</v>
      </c>
      <c r="C14" s="337">
        <v>50</v>
      </c>
      <c r="D14" s="327"/>
      <c r="E14" s="338" t="str">
        <f t="shared" si="25"/>
        <v/>
      </c>
      <c r="F14" s="327"/>
      <c r="G14" s="338" t="str">
        <f t="shared" si="26"/>
        <v/>
      </c>
      <c r="H14" s="327"/>
      <c r="I14" s="338" t="str">
        <f t="shared" si="27"/>
        <v/>
      </c>
      <c r="J14" s="327"/>
      <c r="K14" s="338" t="str">
        <f t="shared" si="0"/>
        <v/>
      </c>
      <c r="L14" s="327"/>
      <c r="M14" s="338" t="str">
        <f t="shared" si="1"/>
        <v/>
      </c>
      <c r="N14" s="327"/>
      <c r="O14" s="338" t="str">
        <f t="shared" si="2"/>
        <v/>
      </c>
      <c r="P14" s="327"/>
      <c r="Q14" s="338" t="str">
        <f t="shared" si="3"/>
        <v/>
      </c>
      <c r="R14" s="327"/>
      <c r="S14" s="338" t="str">
        <f t="shared" si="4"/>
        <v/>
      </c>
      <c r="T14" s="327"/>
      <c r="U14" s="338" t="str">
        <f t="shared" si="5"/>
        <v/>
      </c>
      <c r="V14" s="327"/>
      <c r="W14" s="338" t="str">
        <f t="shared" si="6"/>
        <v/>
      </c>
      <c r="X14" s="327"/>
      <c r="Y14" s="338" t="str">
        <f t="shared" si="7"/>
        <v/>
      </c>
      <c r="Z14" s="327"/>
      <c r="AA14" s="338" t="str">
        <f t="shared" si="8"/>
        <v/>
      </c>
      <c r="AB14" s="327"/>
      <c r="AC14" s="338" t="str">
        <f t="shared" si="9"/>
        <v/>
      </c>
      <c r="AD14" s="327"/>
      <c r="AE14" s="338" t="str">
        <f t="shared" si="10"/>
        <v/>
      </c>
      <c r="AF14" s="327"/>
      <c r="AG14" s="338" t="str">
        <f t="shared" si="11"/>
        <v/>
      </c>
      <c r="AH14" s="327"/>
      <c r="AI14" s="338" t="str">
        <f t="shared" si="12"/>
        <v/>
      </c>
      <c r="AJ14" s="327"/>
      <c r="AK14" s="338" t="str">
        <f t="shared" si="13"/>
        <v/>
      </c>
      <c r="AL14" s="327"/>
      <c r="AM14" s="338" t="str">
        <f t="shared" si="14"/>
        <v/>
      </c>
      <c r="AN14" s="327"/>
      <c r="AO14" s="338" t="str">
        <f t="shared" si="15"/>
        <v/>
      </c>
      <c r="AP14" s="327"/>
      <c r="AQ14" s="338" t="str">
        <f t="shared" si="28"/>
        <v/>
      </c>
      <c r="AR14" s="327"/>
      <c r="AS14" s="338" t="str">
        <f t="shared" si="28"/>
        <v/>
      </c>
      <c r="AT14" s="327"/>
      <c r="AU14" s="338" t="str">
        <f t="shared" si="16"/>
        <v/>
      </c>
      <c r="AV14" s="327"/>
      <c r="AW14" s="338" t="str">
        <f t="shared" si="17"/>
        <v/>
      </c>
      <c r="AX14" s="327"/>
      <c r="AY14" s="338" t="str">
        <f t="shared" si="18"/>
        <v/>
      </c>
      <c r="AZ14" s="327"/>
      <c r="BA14" s="338" t="str">
        <f t="shared" si="19"/>
        <v/>
      </c>
      <c r="BB14" s="327"/>
      <c r="BC14" s="338" t="str">
        <f t="shared" si="20"/>
        <v/>
      </c>
      <c r="BD14" s="327"/>
      <c r="BE14" s="338" t="str">
        <f t="shared" si="21"/>
        <v/>
      </c>
      <c r="BF14" s="327"/>
      <c r="BG14" s="338" t="str">
        <f t="shared" si="22"/>
        <v/>
      </c>
      <c r="BH14" s="327"/>
      <c r="BI14" s="338" t="str">
        <f t="shared" si="23"/>
        <v/>
      </c>
      <c r="BJ14" s="327"/>
      <c r="BK14" s="338" t="str">
        <f t="shared" si="24"/>
        <v/>
      </c>
    </row>
    <row r="15" spans="1:63" ht="18" customHeight="1" x14ac:dyDescent="0.15">
      <c r="A15" s="335"/>
      <c r="B15" s="336" t="s">
        <v>646</v>
      </c>
      <c r="C15" s="337">
        <v>50</v>
      </c>
      <c r="D15" s="327"/>
      <c r="E15" s="338" t="str">
        <f t="shared" si="25"/>
        <v/>
      </c>
      <c r="F15" s="327"/>
      <c r="G15" s="338" t="str">
        <f t="shared" si="26"/>
        <v/>
      </c>
      <c r="H15" s="327"/>
      <c r="I15" s="338" t="str">
        <f t="shared" si="27"/>
        <v/>
      </c>
      <c r="J15" s="327"/>
      <c r="K15" s="338" t="str">
        <f t="shared" si="0"/>
        <v/>
      </c>
      <c r="L15" s="327"/>
      <c r="M15" s="338" t="str">
        <f t="shared" si="1"/>
        <v/>
      </c>
      <c r="N15" s="327"/>
      <c r="O15" s="338" t="str">
        <f t="shared" si="2"/>
        <v/>
      </c>
      <c r="P15" s="327"/>
      <c r="Q15" s="338" t="str">
        <f t="shared" si="3"/>
        <v/>
      </c>
      <c r="R15" s="327"/>
      <c r="S15" s="338" t="str">
        <f t="shared" si="4"/>
        <v/>
      </c>
      <c r="T15" s="327"/>
      <c r="U15" s="338" t="str">
        <f t="shared" si="5"/>
        <v/>
      </c>
      <c r="V15" s="327"/>
      <c r="W15" s="338" t="str">
        <f t="shared" si="6"/>
        <v/>
      </c>
      <c r="X15" s="327"/>
      <c r="Y15" s="338" t="str">
        <f t="shared" si="7"/>
        <v/>
      </c>
      <c r="Z15" s="327"/>
      <c r="AA15" s="338" t="str">
        <f t="shared" si="8"/>
        <v/>
      </c>
      <c r="AB15" s="327"/>
      <c r="AC15" s="338" t="str">
        <f t="shared" si="9"/>
        <v/>
      </c>
      <c r="AD15" s="327"/>
      <c r="AE15" s="338" t="str">
        <f t="shared" si="10"/>
        <v/>
      </c>
      <c r="AF15" s="327"/>
      <c r="AG15" s="338" t="str">
        <f t="shared" si="11"/>
        <v/>
      </c>
      <c r="AH15" s="327"/>
      <c r="AI15" s="338" t="str">
        <f t="shared" si="12"/>
        <v/>
      </c>
      <c r="AJ15" s="327"/>
      <c r="AK15" s="338" t="str">
        <f t="shared" si="13"/>
        <v/>
      </c>
      <c r="AL15" s="327"/>
      <c r="AM15" s="338" t="str">
        <f t="shared" si="14"/>
        <v/>
      </c>
      <c r="AN15" s="327"/>
      <c r="AO15" s="338" t="str">
        <f t="shared" si="15"/>
        <v/>
      </c>
      <c r="AP15" s="327"/>
      <c r="AQ15" s="338" t="str">
        <f t="shared" si="28"/>
        <v/>
      </c>
      <c r="AR15" s="327"/>
      <c r="AS15" s="338" t="str">
        <f t="shared" si="28"/>
        <v/>
      </c>
      <c r="AT15" s="327"/>
      <c r="AU15" s="338" t="str">
        <f t="shared" si="16"/>
        <v/>
      </c>
      <c r="AV15" s="327"/>
      <c r="AW15" s="338" t="str">
        <f t="shared" si="17"/>
        <v/>
      </c>
      <c r="AX15" s="327"/>
      <c r="AY15" s="338" t="str">
        <f t="shared" si="18"/>
        <v/>
      </c>
      <c r="AZ15" s="327"/>
      <c r="BA15" s="338" t="str">
        <f t="shared" si="19"/>
        <v/>
      </c>
      <c r="BB15" s="327"/>
      <c r="BC15" s="338" t="str">
        <f t="shared" si="20"/>
        <v/>
      </c>
      <c r="BD15" s="327"/>
      <c r="BE15" s="338" t="str">
        <f t="shared" si="21"/>
        <v/>
      </c>
      <c r="BF15" s="327"/>
      <c r="BG15" s="338" t="str">
        <f t="shared" si="22"/>
        <v/>
      </c>
      <c r="BH15" s="327"/>
      <c r="BI15" s="338" t="str">
        <f t="shared" si="23"/>
        <v/>
      </c>
      <c r="BJ15" s="327"/>
      <c r="BK15" s="338" t="str">
        <f t="shared" si="24"/>
        <v/>
      </c>
    </row>
    <row r="16" spans="1:63" ht="18" customHeight="1" x14ac:dyDescent="0.15">
      <c r="A16" s="335"/>
      <c r="B16" s="336" t="s">
        <v>647</v>
      </c>
      <c r="C16" s="337">
        <v>50</v>
      </c>
      <c r="D16" s="327"/>
      <c r="E16" s="338" t="str">
        <f t="shared" si="25"/>
        <v/>
      </c>
      <c r="F16" s="327"/>
      <c r="G16" s="338" t="str">
        <f t="shared" si="26"/>
        <v/>
      </c>
      <c r="H16" s="327"/>
      <c r="I16" s="338" t="str">
        <f t="shared" si="27"/>
        <v/>
      </c>
      <c r="J16" s="327"/>
      <c r="K16" s="338" t="str">
        <f t="shared" si="0"/>
        <v/>
      </c>
      <c r="L16" s="327"/>
      <c r="M16" s="338" t="str">
        <f t="shared" si="1"/>
        <v/>
      </c>
      <c r="N16" s="327"/>
      <c r="O16" s="338" t="str">
        <f t="shared" si="2"/>
        <v/>
      </c>
      <c r="P16" s="327"/>
      <c r="Q16" s="338" t="str">
        <f t="shared" si="3"/>
        <v/>
      </c>
      <c r="R16" s="327"/>
      <c r="S16" s="338" t="str">
        <f t="shared" si="4"/>
        <v/>
      </c>
      <c r="T16" s="327"/>
      <c r="U16" s="338" t="str">
        <f t="shared" si="5"/>
        <v/>
      </c>
      <c r="V16" s="327"/>
      <c r="W16" s="338" t="str">
        <f t="shared" si="6"/>
        <v/>
      </c>
      <c r="X16" s="327"/>
      <c r="Y16" s="338" t="str">
        <f t="shared" si="7"/>
        <v/>
      </c>
      <c r="Z16" s="327"/>
      <c r="AA16" s="338" t="str">
        <f t="shared" si="8"/>
        <v/>
      </c>
      <c r="AB16" s="327"/>
      <c r="AC16" s="338" t="str">
        <f t="shared" si="9"/>
        <v/>
      </c>
      <c r="AD16" s="327"/>
      <c r="AE16" s="338" t="str">
        <f t="shared" si="10"/>
        <v/>
      </c>
      <c r="AF16" s="327"/>
      <c r="AG16" s="338" t="str">
        <f t="shared" si="11"/>
        <v/>
      </c>
      <c r="AH16" s="327"/>
      <c r="AI16" s="338" t="str">
        <f t="shared" si="12"/>
        <v/>
      </c>
      <c r="AJ16" s="327"/>
      <c r="AK16" s="338" t="str">
        <f t="shared" si="13"/>
        <v/>
      </c>
      <c r="AL16" s="327"/>
      <c r="AM16" s="338" t="str">
        <f t="shared" si="14"/>
        <v/>
      </c>
      <c r="AN16" s="327"/>
      <c r="AO16" s="338" t="str">
        <f t="shared" si="15"/>
        <v/>
      </c>
      <c r="AP16" s="327"/>
      <c r="AQ16" s="338" t="str">
        <f t="shared" si="28"/>
        <v/>
      </c>
      <c r="AR16" s="327"/>
      <c r="AS16" s="338" t="str">
        <f t="shared" si="28"/>
        <v/>
      </c>
      <c r="AT16" s="327"/>
      <c r="AU16" s="338" t="str">
        <f t="shared" si="16"/>
        <v/>
      </c>
      <c r="AV16" s="327"/>
      <c r="AW16" s="338" t="str">
        <f t="shared" si="17"/>
        <v/>
      </c>
      <c r="AX16" s="327"/>
      <c r="AY16" s="338" t="str">
        <f t="shared" si="18"/>
        <v/>
      </c>
      <c r="AZ16" s="327"/>
      <c r="BA16" s="338" t="str">
        <f t="shared" si="19"/>
        <v/>
      </c>
      <c r="BB16" s="327"/>
      <c r="BC16" s="338" t="str">
        <f t="shared" si="20"/>
        <v/>
      </c>
      <c r="BD16" s="327"/>
      <c r="BE16" s="338" t="str">
        <f t="shared" si="21"/>
        <v/>
      </c>
      <c r="BF16" s="327"/>
      <c r="BG16" s="338" t="str">
        <f t="shared" si="22"/>
        <v/>
      </c>
      <c r="BH16" s="327"/>
      <c r="BI16" s="338" t="str">
        <f t="shared" si="23"/>
        <v/>
      </c>
      <c r="BJ16" s="327"/>
      <c r="BK16" s="338" t="str">
        <f t="shared" si="24"/>
        <v/>
      </c>
    </row>
    <row r="17" spans="1:63" ht="18" customHeight="1" x14ac:dyDescent="0.15">
      <c r="A17" s="335"/>
      <c r="B17" s="336" t="s">
        <v>648</v>
      </c>
      <c r="C17" s="337">
        <v>50</v>
      </c>
      <c r="D17" s="327"/>
      <c r="E17" s="338" t="str">
        <f t="shared" si="25"/>
        <v/>
      </c>
      <c r="F17" s="327"/>
      <c r="G17" s="338" t="str">
        <f t="shared" si="26"/>
        <v/>
      </c>
      <c r="H17" s="327"/>
      <c r="I17" s="338" t="str">
        <f t="shared" si="27"/>
        <v/>
      </c>
      <c r="J17" s="327"/>
      <c r="K17" s="338" t="str">
        <f t="shared" si="0"/>
        <v/>
      </c>
      <c r="L17" s="327"/>
      <c r="M17" s="338" t="str">
        <f t="shared" si="1"/>
        <v/>
      </c>
      <c r="N17" s="327"/>
      <c r="O17" s="338" t="str">
        <f t="shared" si="2"/>
        <v/>
      </c>
      <c r="P17" s="327"/>
      <c r="Q17" s="338" t="str">
        <f t="shared" si="3"/>
        <v/>
      </c>
      <c r="R17" s="327"/>
      <c r="S17" s="338" t="str">
        <f t="shared" si="4"/>
        <v/>
      </c>
      <c r="T17" s="327"/>
      <c r="U17" s="338" t="str">
        <f t="shared" si="5"/>
        <v/>
      </c>
      <c r="V17" s="327"/>
      <c r="W17" s="338" t="str">
        <f t="shared" si="6"/>
        <v/>
      </c>
      <c r="X17" s="327"/>
      <c r="Y17" s="338" t="str">
        <f t="shared" si="7"/>
        <v/>
      </c>
      <c r="Z17" s="327"/>
      <c r="AA17" s="338" t="str">
        <f t="shared" si="8"/>
        <v/>
      </c>
      <c r="AB17" s="327"/>
      <c r="AC17" s="338" t="str">
        <f t="shared" si="9"/>
        <v/>
      </c>
      <c r="AD17" s="327"/>
      <c r="AE17" s="338" t="str">
        <f t="shared" si="10"/>
        <v/>
      </c>
      <c r="AF17" s="327"/>
      <c r="AG17" s="338" t="str">
        <f t="shared" si="11"/>
        <v/>
      </c>
      <c r="AH17" s="327"/>
      <c r="AI17" s="338" t="str">
        <f t="shared" si="12"/>
        <v/>
      </c>
      <c r="AJ17" s="327"/>
      <c r="AK17" s="338" t="str">
        <f t="shared" si="13"/>
        <v/>
      </c>
      <c r="AL17" s="327"/>
      <c r="AM17" s="338" t="str">
        <f t="shared" si="14"/>
        <v/>
      </c>
      <c r="AN17" s="327"/>
      <c r="AO17" s="338" t="str">
        <f t="shared" si="15"/>
        <v/>
      </c>
      <c r="AP17" s="327"/>
      <c r="AQ17" s="338" t="str">
        <f t="shared" si="28"/>
        <v/>
      </c>
      <c r="AR17" s="327"/>
      <c r="AS17" s="338" t="str">
        <f t="shared" si="28"/>
        <v/>
      </c>
      <c r="AT17" s="327"/>
      <c r="AU17" s="338" t="str">
        <f t="shared" si="16"/>
        <v/>
      </c>
      <c r="AV17" s="327"/>
      <c r="AW17" s="338" t="str">
        <f t="shared" si="17"/>
        <v/>
      </c>
      <c r="AX17" s="327"/>
      <c r="AY17" s="338" t="str">
        <f t="shared" si="18"/>
        <v/>
      </c>
      <c r="AZ17" s="327"/>
      <c r="BA17" s="338" t="str">
        <f t="shared" si="19"/>
        <v/>
      </c>
      <c r="BB17" s="327"/>
      <c r="BC17" s="338" t="str">
        <f t="shared" si="20"/>
        <v/>
      </c>
      <c r="BD17" s="327"/>
      <c r="BE17" s="338" t="str">
        <f t="shared" si="21"/>
        <v/>
      </c>
      <c r="BF17" s="327"/>
      <c r="BG17" s="338" t="str">
        <f t="shared" si="22"/>
        <v/>
      </c>
      <c r="BH17" s="327"/>
      <c r="BI17" s="338" t="str">
        <f t="shared" si="23"/>
        <v/>
      </c>
      <c r="BJ17" s="327"/>
      <c r="BK17" s="338" t="str">
        <f t="shared" si="24"/>
        <v/>
      </c>
    </row>
    <row r="18" spans="1:63" ht="18" customHeight="1" x14ac:dyDescent="0.15">
      <c r="A18" s="335"/>
      <c r="B18" s="336" t="s">
        <v>649</v>
      </c>
      <c r="C18" s="337">
        <v>12</v>
      </c>
      <c r="D18" s="327"/>
      <c r="E18" s="338" t="str">
        <f t="shared" si="25"/>
        <v/>
      </c>
      <c r="F18" s="327"/>
      <c r="G18" s="338" t="str">
        <f t="shared" si="26"/>
        <v/>
      </c>
      <c r="H18" s="327"/>
      <c r="I18" s="338" t="str">
        <f t="shared" si="27"/>
        <v/>
      </c>
      <c r="J18" s="327"/>
      <c r="K18" s="338" t="str">
        <f t="shared" si="0"/>
        <v/>
      </c>
      <c r="L18" s="327"/>
      <c r="M18" s="338" t="str">
        <f t="shared" si="1"/>
        <v/>
      </c>
      <c r="N18" s="327"/>
      <c r="O18" s="338" t="str">
        <f t="shared" si="2"/>
        <v/>
      </c>
      <c r="P18" s="327"/>
      <c r="Q18" s="338" t="str">
        <f t="shared" si="3"/>
        <v/>
      </c>
      <c r="R18" s="327"/>
      <c r="S18" s="338" t="str">
        <f t="shared" si="4"/>
        <v/>
      </c>
      <c r="T18" s="327"/>
      <c r="U18" s="338" t="str">
        <f t="shared" si="5"/>
        <v/>
      </c>
      <c r="V18" s="327"/>
      <c r="W18" s="338" t="str">
        <f t="shared" si="6"/>
        <v/>
      </c>
      <c r="X18" s="327"/>
      <c r="Y18" s="338" t="str">
        <f t="shared" si="7"/>
        <v/>
      </c>
      <c r="Z18" s="327"/>
      <c r="AA18" s="338" t="str">
        <f t="shared" si="8"/>
        <v/>
      </c>
      <c r="AB18" s="327"/>
      <c r="AC18" s="338" t="str">
        <f t="shared" si="9"/>
        <v/>
      </c>
      <c r="AD18" s="327"/>
      <c r="AE18" s="338" t="str">
        <f t="shared" si="10"/>
        <v/>
      </c>
      <c r="AF18" s="327"/>
      <c r="AG18" s="338" t="str">
        <f t="shared" si="11"/>
        <v/>
      </c>
      <c r="AH18" s="327"/>
      <c r="AI18" s="338" t="str">
        <f t="shared" si="12"/>
        <v/>
      </c>
      <c r="AJ18" s="327"/>
      <c r="AK18" s="338" t="str">
        <f t="shared" si="13"/>
        <v/>
      </c>
      <c r="AL18" s="327"/>
      <c r="AM18" s="338" t="str">
        <f t="shared" si="14"/>
        <v/>
      </c>
      <c r="AN18" s="327"/>
      <c r="AO18" s="338" t="str">
        <f t="shared" si="15"/>
        <v/>
      </c>
      <c r="AP18" s="327"/>
      <c r="AQ18" s="338" t="str">
        <f t="shared" si="28"/>
        <v/>
      </c>
      <c r="AR18" s="327"/>
      <c r="AS18" s="338" t="str">
        <f t="shared" si="28"/>
        <v/>
      </c>
      <c r="AT18" s="327"/>
      <c r="AU18" s="338" t="str">
        <f t="shared" si="16"/>
        <v/>
      </c>
      <c r="AV18" s="327"/>
      <c r="AW18" s="338" t="str">
        <f t="shared" si="17"/>
        <v/>
      </c>
      <c r="AX18" s="327"/>
      <c r="AY18" s="338" t="str">
        <f t="shared" si="18"/>
        <v/>
      </c>
      <c r="AZ18" s="327"/>
      <c r="BA18" s="338" t="str">
        <f t="shared" si="19"/>
        <v/>
      </c>
      <c r="BB18" s="327"/>
      <c r="BC18" s="338" t="str">
        <f t="shared" si="20"/>
        <v/>
      </c>
      <c r="BD18" s="327"/>
      <c r="BE18" s="338" t="str">
        <f t="shared" si="21"/>
        <v/>
      </c>
      <c r="BF18" s="327"/>
      <c r="BG18" s="338" t="str">
        <f t="shared" si="22"/>
        <v/>
      </c>
      <c r="BH18" s="327"/>
      <c r="BI18" s="338" t="str">
        <f t="shared" si="23"/>
        <v/>
      </c>
      <c r="BJ18" s="327"/>
      <c r="BK18" s="338" t="str">
        <f t="shared" si="24"/>
        <v/>
      </c>
    </row>
    <row r="19" spans="1:63" ht="18" customHeight="1" x14ac:dyDescent="0.15">
      <c r="A19" s="335"/>
      <c r="B19" s="336" t="s">
        <v>650</v>
      </c>
      <c r="C19" s="337">
        <v>50</v>
      </c>
      <c r="D19" s="327"/>
      <c r="E19" s="338" t="str">
        <f t="shared" si="25"/>
        <v/>
      </c>
      <c r="F19" s="327"/>
      <c r="G19" s="338" t="str">
        <f t="shared" si="26"/>
        <v/>
      </c>
      <c r="H19" s="327"/>
      <c r="I19" s="338" t="str">
        <f t="shared" si="27"/>
        <v/>
      </c>
      <c r="J19" s="327"/>
      <c r="K19" s="338" t="str">
        <f t="shared" si="0"/>
        <v/>
      </c>
      <c r="L19" s="327"/>
      <c r="M19" s="338" t="str">
        <f t="shared" si="1"/>
        <v/>
      </c>
      <c r="N19" s="327"/>
      <c r="O19" s="338" t="str">
        <f t="shared" si="2"/>
        <v/>
      </c>
      <c r="P19" s="327"/>
      <c r="Q19" s="338" t="str">
        <f t="shared" si="3"/>
        <v/>
      </c>
      <c r="R19" s="327"/>
      <c r="S19" s="338" t="str">
        <f t="shared" si="4"/>
        <v/>
      </c>
      <c r="T19" s="327"/>
      <c r="U19" s="338" t="str">
        <f t="shared" si="5"/>
        <v/>
      </c>
      <c r="V19" s="327"/>
      <c r="W19" s="338" t="str">
        <f t="shared" si="6"/>
        <v/>
      </c>
      <c r="X19" s="327"/>
      <c r="Y19" s="338" t="str">
        <f t="shared" si="7"/>
        <v/>
      </c>
      <c r="Z19" s="327"/>
      <c r="AA19" s="338" t="str">
        <f t="shared" si="8"/>
        <v/>
      </c>
      <c r="AB19" s="327"/>
      <c r="AC19" s="338" t="str">
        <f t="shared" si="9"/>
        <v/>
      </c>
      <c r="AD19" s="327"/>
      <c r="AE19" s="338" t="str">
        <f t="shared" si="10"/>
        <v/>
      </c>
      <c r="AF19" s="327"/>
      <c r="AG19" s="338" t="str">
        <f t="shared" si="11"/>
        <v/>
      </c>
      <c r="AH19" s="327"/>
      <c r="AI19" s="338" t="str">
        <f t="shared" si="12"/>
        <v/>
      </c>
      <c r="AJ19" s="327"/>
      <c r="AK19" s="338" t="str">
        <f t="shared" si="13"/>
        <v/>
      </c>
      <c r="AL19" s="327"/>
      <c r="AM19" s="338" t="str">
        <f t="shared" si="14"/>
        <v/>
      </c>
      <c r="AN19" s="327"/>
      <c r="AO19" s="338" t="str">
        <f t="shared" si="15"/>
        <v/>
      </c>
      <c r="AP19" s="327"/>
      <c r="AQ19" s="338" t="str">
        <f t="shared" si="28"/>
        <v/>
      </c>
      <c r="AR19" s="327"/>
      <c r="AS19" s="338" t="str">
        <f t="shared" si="28"/>
        <v/>
      </c>
      <c r="AT19" s="327"/>
      <c r="AU19" s="338" t="str">
        <f t="shared" si="16"/>
        <v/>
      </c>
      <c r="AV19" s="327"/>
      <c r="AW19" s="338" t="str">
        <f t="shared" si="17"/>
        <v/>
      </c>
      <c r="AX19" s="327"/>
      <c r="AY19" s="338" t="str">
        <f t="shared" si="18"/>
        <v/>
      </c>
      <c r="AZ19" s="327"/>
      <c r="BA19" s="338" t="str">
        <f t="shared" si="19"/>
        <v/>
      </c>
      <c r="BB19" s="327"/>
      <c r="BC19" s="338" t="str">
        <f t="shared" si="20"/>
        <v/>
      </c>
      <c r="BD19" s="327"/>
      <c r="BE19" s="338" t="str">
        <f t="shared" si="21"/>
        <v/>
      </c>
      <c r="BF19" s="327"/>
      <c r="BG19" s="338" t="str">
        <f t="shared" si="22"/>
        <v/>
      </c>
      <c r="BH19" s="327"/>
      <c r="BI19" s="338" t="str">
        <f t="shared" si="23"/>
        <v/>
      </c>
      <c r="BJ19" s="327"/>
      <c r="BK19" s="338" t="str">
        <f t="shared" si="24"/>
        <v/>
      </c>
    </row>
    <row r="20" spans="1:63" ht="18" customHeight="1" x14ac:dyDescent="0.15">
      <c r="A20" s="335"/>
      <c r="B20" s="336" t="s">
        <v>651</v>
      </c>
      <c r="C20" s="337">
        <v>50</v>
      </c>
      <c r="D20" s="327"/>
      <c r="E20" s="338" t="str">
        <f t="shared" si="25"/>
        <v/>
      </c>
      <c r="F20" s="327"/>
      <c r="G20" s="338" t="str">
        <f t="shared" si="26"/>
        <v/>
      </c>
      <c r="H20" s="327"/>
      <c r="I20" s="338" t="str">
        <f t="shared" si="27"/>
        <v/>
      </c>
      <c r="J20" s="327"/>
      <c r="K20" s="338" t="str">
        <f t="shared" si="0"/>
        <v/>
      </c>
      <c r="L20" s="327"/>
      <c r="M20" s="338" t="str">
        <f t="shared" si="1"/>
        <v/>
      </c>
      <c r="N20" s="327"/>
      <c r="O20" s="338" t="str">
        <f t="shared" si="2"/>
        <v/>
      </c>
      <c r="P20" s="327"/>
      <c r="Q20" s="338" t="str">
        <f t="shared" si="3"/>
        <v/>
      </c>
      <c r="R20" s="327"/>
      <c r="S20" s="338" t="str">
        <f t="shared" si="4"/>
        <v/>
      </c>
      <c r="T20" s="327"/>
      <c r="U20" s="338" t="str">
        <f t="shared" si="5"/>
        <v/>
      </c>
      <c r="V20" s="327"/>
      <c r="W20" s="338" t="str">
        <f t="shared" si="6"/>
        <v/>
      </c>
      <c r="X20" s="327"/>
      <c r="Y20" s="338" t="str">
        <f t="shared" si="7"/>
        <v/>
      </c>
      <c r="Z20" s="327"/>
      <c r="AA20" s="338" t="str">
        <f t="shared" si="8"/>
        <v/>
      </c>
      <c r="AB20" s="327"/>
      <c r="AC20" s="338" t="str">
        <f t="shared" si="9"/>
        <v/>
      </c>
      <c r="AD20" s="327"/>
      <c r="AE20" s="338" t="str">
        <f t="shared" si="10"/>
        <v/>
      </c>
      <c r="AF20" s="327"/>
      <c r="AG20" s="338" t="str">
        <f t="shared" si="11"/>
        <v/>
      </c>
      <c r="AH20" s="327"/>
      <c r="AI20" s="338" t="str">
        <f t="shared" si="12"/>
        <v/>
      </c>
      <c r="AJ20" s="327"/>
      <c r="AK20" s="338" t="str">
        <f t="shared" si="13"/>
        <v/>
      </c>
      <c r="AL20" s="327"/>
      <c r="AM20" s="338" t="str">
        <f t="shared" si="14"/>
        <v/>
      </c>
      <c r="AN20" s="327"/>
      <c r="AO20" s="338" t="str">
        <f t="shared" si="15"/>
        <v/>
      </c>
      <c r="AP20" s="327"/>
      <c r="AQ20" s="338" t="str">
        <f t="shared" si="28"/>
        <v/>
      </c>
      <c r="AR20" s="327"/>
      <c r="AS20" s="338" t="str">
        <f t="shared" si="28"/>
        <v/>
      </c>
      <c r="AT20" s="327"/>
      <c r="AU20" s="338" t="str">
        <f t="shared" si="16"/>
        <v/>
      </c>
      <c r="AV20" s="327"/>
      <c r="AW20" s="338" t="str">
        <f t="shared" si="17"/>
        <v/>
      </c>
      <c r="AX20" s="327"/>
      <c r="AY20" s="338" t="str">
        <f t="shared" si="18"/>
        <v/>
      </c>
      <c r="AZ20" s="327"/>
      <c r="BA20" s="338" t="str">
        <f t="shared" si="19"/>
        <v/>
      </c>
      <c r="BB20" s="327"/>
      <c r="BC20" s="338" t="str">
        <f t="shared" si="20"/>
        <v/>
      </c>
      <c r="BD20" s="327"/>
      <c r="BE20" s="338" t="str">
        <f t="shared" si="21"/>
        <v/>
      </c>
      <c r="BF20" s="327"/>
      <c r="BG20" s="338" t="str">
        <f t="shared" si="22"/>
        <v/>
      </c>
      <c r="BH20" s="327"/>
      <c r="BI20" s="338" t="str">
        <f t="shared" si="23"/>
        <v/>
      </c>
      <c r="BJ20" s="327"/>
      <c r="BK20" s="338" t="str">
        <f t="shared" si="24"/>
        <v/>
      </c>
    </row>
    <row r="21" spans="1:63" ht="18" customHeight="1" x14ac:dyDescent="0.15">
      <c r="A21" s="335"/>
      <c r="B21" s="336" t="s">
        <v>652</v>
      </c>
      <c r="C21" s="337">
        <v>50</v>
      </c>
      <c r="D21" s="327"/>
      <c r="E21" s="338" t="str">
        <f t="shared" si="25"/>
        <v/>
      </c>
      <c r="F21" s="327"/>
      <c r="G21" s="338" t="str">
        <f t="shared" si="26"/>
        <v/>
      </c>
      <c r="H21" s="327"/>
      <c r="I21" s="338" t="str">
        <f t="shared" si="27"/>
        <v/>
      </c>
      <c r="J21" s="327"/>
      <c r="K21" s="338" t="str">
        <f t="shared" si="0"/>
        <v/>
      </c>
      <c r="L21" s="327"/>
      <c r="M21" s="338" t="str">
        <f t="shared" si="1"/>
        <v/>
      </c>
      <c r="N21" s="327"/>
      <c r="O21" s="338" t="str">
        <f t="shared" si="2"/>
        <v/>
      </c>
      <c r="P21" s="327"/>
      <c r="Q21" s="338" t="str">
        <f t="shared" si="3"/>
        <v/>
      </c>
      <c r="R21" s="327"/>
      <c r="S21" s="338" t="str">
        <f t="shared" si="4"/>
        <v/>
      </c>
      <c r="T21" s="327"/>
      <c r="U21" s="338" t="str">
        <f t="shared" si="5"/>
        <v/>
      </c>
      <c r="V21" s="327"/>
      <c r="W21" s="338" t="str">
        <f t="shared" si="6"/>
        <v/>
      </c>
      <c r="X21" s="327"/>
      <c r="Y21" s="338" t="str">
        <f t="shared" si="7"/>
        <v/>
      </c>
      <c r="Z21" s="327"/>
      <c r="AA21" s="338" t="str">
        <f t="shared" si="8"/>
        <v/>
      </c>
      <c r="AB21" s="327"/>
      <c r="AC21" s="338" t="str">
        <f t="shared" si="9"/>
        <v/>
      </c>
      <c r="AD21" s="327"/>
      <c r="AE21" s="338" t="str">
        <f t="shared" si="10"/>
        <v/>
      </c>
      <c r="AF21" s="327"/>
      <c r="AG21" s="338" t="str">
        <f t="shared" si="11"/>
        <v/>
      </c>
      <c r="AH21" s="327"/>
      <c r="AI21" s="338" t="str">
        <f t="shared" si="12"/>
        <v/>
      </c>
      <c r="AJ21" s="327"/>
      <c r="AK21" s="338" t="str">
        <f t="shared" si="13"/>
        <v/>
      </c>
      <c r="AL21" s="327"/>
      <c r="AM21" s="338" t="str">
        <f t="shared" si="14"/>
        <v/>
      </c>
      <c r="AN21" s="327"/>
      <c r="AO21" s="338" t="str">
        <f t="shared" si="15"/>
        <v/>
      </c>
      <c r="AP21" s="327"/>
      <c r="AQ21" s="338" t="str">
        <f t="shared" si="28"/>
        <v/>
      </c>
      <c r="AR21" s="327"/>
      <c r="AS21" s="338" t="str">
        <f t="shared" si="28"/>
        <v/>
      </c>
      <c r="AT21" s="327"/>
      <c r="AU21" s="338" t="str">
        <f t="shared" si="16"/>
        <v/>
      </c>
      <c r="AV21" s="327"/>
      <c r="AW21" s="338" t="str">
        <f t="shared" si="17"/>
        <v/>
      </c>
      <c r="AX21" s="327"/>
      <c r="AY21" s="338" t="str">
        <f t="shared" si="18"/>
        <v/>
      </c>
      <c r="AZ21" s="327"/>
      <c r="BA21" s="338" t="str">
        <f t="shared" si="19"/>
        <v/>
      </c>
      <c r="BB21" s="327"/>
      <c r="BC21" s="338" t="str">
        <f t="shared" si="20"/>
        <v/>
      </c>
      <c r="BD21" s="327"/>
      <c r="BE21" s="338" t="str">
        <f t="shared" si="21"/>
        <v/>
      </c>
      <c r="BF21" s="327"/>
      <c r="BG21" s="338" t="str">
        <f t="shared" si="22"/>
        <v/>
      </c>
      <c r="BH21" s="327"/>
      <c r="BI21" s="338" t="str">
        <f t="shared" si="23"/>
        <v/>
      </c>
      <c r="BJ21" s="327"/>
      <c r="BK21" s="338" t="str">
        <f t="shared" si="24"/>
        <v/>
      </c>
    </row>
    <row r="22" spans="1:63" ht="18" customHeight="1" x14ac:dyDescent="0.15">
      <c r="A22" s="335"/>
      <c r="B22" s="336" t="s">
        <v>653</v>
      </c>
      <c r="C22" s="337">
        <v>12</v>
      </c>
      <c r="D22" s="327"/>
      <c r="E22" s="338" t="str">
        <f t="shared" si="25"/>
        <v/>
      </c>
      <c r="F22" s="327"/>
      <c r="G22" s="338" t="str">
        <f t="shared" si="26"/>
        <v/>
      </c>
      <c r="H22" s="327"/>
      <c r="I22" s="338" t="str">
        <f t="shared" si="27"/>
        <v/>
      </c>
      <c r="J22" s="327"/>
      <c r="K22" s="338" t="str">
        <f t="shared" si="0"/>
        <v/>
      </c>
      <c r="L22" s="327"/>
      <c r="M22" s="338" t="str">
        <f t="shared" si="1"/>
        <v/>
      </c>
      <c r="N22" s="327"/>
      <c r="O22" s="338" t="str">
        <f t="shared" si="2"/>
        <v/>
      </c>
      <c r="P22" s="327"/>
      <c r="Q22" s="338" t="str">
        <f t="shared" si="3"/>
        <v/>
      </c>
      <c r="R22" s="327"/>
      <c r="S22" s="338" t="str">
        <f t="shared" si="4"/>
        <v/>
      </c>
      <c r="T22" s="327"/>
      <c r="U22" s="338" t="str">
        <f t="shared" si="5"/>
        <v/>
      </c>
      <c r="V22" s="327"/>
      <c r="W22" s="338" t="str">
        <f t="shared" si="6"/>
        <v/>
      </c>
      <c r="X22" s="327"/>
      <c r="Y22" s="338" t="str">
        <f t="shared" si="7"/>
        <v/>
      </c>
      <c r="Z22" s="327"/>
      <c r="AA22" s="338" t="str">
        <f t="shared" si="8"/>
        <v/>
      </c>
      <c r="AB22" s="327"/>
      <c r="AC22" s="338" t="str">
        <f t="shared" si="9"/>
        <v/>
      </c>
      <c r="AD22" s="327"/>
      <c r="AE22" s="338" t="str">
        <f t="shared" si="10"/>
        <v/>
      </c>
      <c r="AF22" s="327"/>
      <c r="AG22" s="338" t="str">
        <f t="shared" si="11"/>
        <v/>
      </c>
      <c r="AH22" s="327"/>
      <c r="AI22" s="338" t="str">
        <f t="shared" si="12"/>
        <v/>
      </c>
      <c r="AJ22" s="327"/>
      <c r="AK22" s="338" t="str">
        <f t="shared" si="13"/>
        <v/>
      </c>
      <c r="AL22" s="327"/>
      <c r="AM22" s="338" t="str">
        <f t="shared" si="14"/>
        <v/>
      </c>
      <c r="AN22" s="327"/>
      <c r="AO22" s="338" t="str">
        <f t="shared" si="15"/>
        <v/>
      </c>
      <c r="AP22" s="327"/>
      <c r="AQ22" s="338" t="str">
        <f t="shared" si="28"/>
        <v/>
      </c>
      <c r="AR22" s="327"/>
      <c r="AS22" s="338" t="str">
        <f t="shared" si="28"/>
        <v/>
      </c>
      <c r="AT22" s="327"/>
      <c r="AU22" s="338" t="str">
        <f t="shared" si="16"/>
        <v/>
      </c>
      <c r="AV22" s="327"/>
      <c r="AW22" s="338" t="str">
        <f t="shared" si="17"/>
        <v/>
      </c>
      <c r="AX22" s="327"/>
      <c r="AY22" s="338" t="str">
        <f t="shared" si="18"/>
        <v/>
      </c>
      <c r="AZ22" s="327"/>
      <c r="BA22" s="338" t="str">
        <f t="shared" si="19"/>
        <v/>
      </c>
      <c r="BB22" s="327"/>
      <c r="BC22" s="338" t="str">
        <f t="shared" si="20"/>
        <v/>
      </c>
      <c r="BD22" s="327"/>
      <c r="BE22" s="338" t="str">
        <f t="shared" si="21"/>
        <v/>
      </c>
      <c r="BF22" s="327"/>
      <c r="BG22" s="338" t="str">
        <f t="shared" si="22"/>
        <v/>
      </c>
      <c r="BH22" s="327"/>
      <c r="BI22" s="338" t="str">
        <f t="shared" si="23"/>
        <v/>
      </c>
      <c r="BJ22" s="327"/>
      <c r="BK22" s="338" t="str">
        <f t="shared" si="24"/>
        <v/>
      </c>
    </row>
    <row r="23" spans="1:63" ht="18" customHeight="1" x14ac:dyDescent="0.15">
      <c r="A23" s="335"/>
      <c r="B23" s="336" t="s">
        <v>654</v>
      </c>
      <c r="C23" s="337">
        <v>12</v>
      </c>
      <c r="D23" s="327"/>
      <c r="E23" s="338" t="str">
        <f t="shared" si="25"/>
        <v/>
      </c>
      <c r="F23" s="327"/>
      <c r="G23" s="338" t="str">
        <f t="shared" si="26"/>
        <v/>
      </c>
      <c r="H23" s="327"/>
      <c r="I23" s="338" t="str">
        <f t="shared" si="27"/>
        <v/>
      </c>
      <c r="J23" s="327"/>
      <c r="K23" s="338" t="str">
        <f t="shared" si="0"/>
        <v/>
      </c>
      <c r="L23" s="327"/>
      <c r="M23" s="338" t="str">
        <f t="shared" si="1"/>
        <v/>
      </c>
      <c r="N23" s="327"/>
      <c r="O23" s="338" t="str">
        <f t="shared" si="2"/>
        <v/>
      </c>
      <c r="P23" s="327"/>
      <c r="Q23" s="338" t="str">
        <f t="shared" si="3"/>
        <v/>
      </c>
      <c r="R23" s="327"/>
      <c r="S23" s="338" t="str">
        <f t="shared" si="4"/>
        <v/>
      </c>
      <c r="T23" s="327"/>
      <c r="U23" s="338" t="str">
        <f t="shared" si="5"/>
        <v/>
      </c>
      <c r="V23" s="327"/>
      <c r="W23" s="338" t="str">
        <f t="shared" si="6"/>
        <v/>
      </c>
      <c r="X23" s="327"/>
      <c r="Y23" s="338" t="str">
        <f t="shared" si="7"/>
        <v/>
      </c>
      <c r="Z23" s="327"/>
      <c r="AA23" s="338" t="str">
        <f t="shared" si="8"/>
        <v/>
      </c>
      <c r="AB23" s="327"/>
      <c r="AC23" s="338" t="str">
        <f t="shared" si="9"/>
        <v/>
      </c>
      <c r="AD23" s="327"/>
      <c r="AE23" s="338" t="str">
        <f t="shared" si="10"/>
        <v/>
      </c>
      <c r="AF23" s="327"/>
      <c r="AG23" s="338" t="str">
        <f t="shared" si="11"/>
        <v/>
      </c>
      <c r="AH23" s="327"/>
      <c r="AI23" s="338" t="str">
        <f t="shared" si="12"/>
        <v/>
      </c>
      <c r="AJ23" s="327"/>
      <c r="AK23" s="338" t="str">
        <f t="shared" si="13"/>
        <v/>
      </c>
      <c r="AL23" s="327"/>
      <c r="AM23" s="338" t="str">
        <f t="shared" si="14"/>
        <v/>
      </c>
      <c r="AN23" s="327"/>
      <c r="AO23" s="338" t="str">
        <f t="shared" si="15"/>
        <v/>
      </c>
      <c r="AP23" s="327"/>
      <c r="AQ23" s="338" t="str">
        <f t="shared" si="28"/>
        <v/>
      </c>
      <c r="AR23" s="327"/>
      <c r="AS23" s="338" t="str">
        <f t="shared" si="28"/>
        <v/>
      </c>
      <c r="AT23" s="327"/>
      <c r="AU23" s="338" t="str">
        <f t="shared" si="16"/>
        <v/>
      </c>
      <c r="AV23" s="327"/>
      <c r="AW23" s="338" t="str">
        <f t="shared" si="17"/>
        <v/>
      </c>
      <c r="AX23" s="327"/>
      <c r="AY23" s="338" t="str">
        <f t="shared" si="18"/>
        <v/>
      </c>
      <c r="AZ23" s="327"/>
      <c r="BA23" s="338" t="str">
        <f t="shared" si="19"/>
        <v/>
      </c>
      <c r="BB23" s="327"/>
      <c r="BC23" s="338" t="str">
        <f t="shared" si="20"/>
        <v/>
      </c>
      <c r="BD23" s="327"/>
      <c r="BE23" s="338" t="str">
        <f t="shared" si="21"/>
        <v/>
      </c>
      <c r="BF23" s="327"/>
      <c r="BG23" s="338" t="str">
        <f t="shared" si="22"/>
        <v/>
      </c>
      <c r="BH23" s="327"/>
      <c r="BI23" s="338" t="str">
        <f t="shared" si="23"/>
        <v/>
      </c>
      <c r="BJ23" s="327"/>
      <c r="BK23" s="338" t="str">
        <f t="shared" si="24"/>
        <v/>
      </c>
    </row>
    <row r="24" spans="1:63" ht="18" customHeight="1" x14ac:dyDescent="0.15">
      <c r="A24" s="335"/>
      <c r="B24" s="336" t="s">
        <v>655</v>
      </c>
      <c r="C24" s="337">
        <v>12</v>
      </c>
      <c r="D24" s="327"/>
      <c r="E24" s="338" t="str">
        <f t="shared" si="25"/>
        <v/>
      </c>
      <c r="F24" s="327"/>
      <c r="G24" s="338" t="str">
        <f t="shared" si="26"/>
        <v/>
      </c>
      <c r="H24" s="327"/>
      <c r="I24" s="338" t="str">
        <f t="shared" si="27"/>
        <v/>
      </c>
      <c r="J24" s="327"/>
      <c r="K24" s="338" t="str">
        <f t="shared" si="0"/>
        <v/>
      </c>
      <c r="L24" s="327"/>
      <c r="M24" s="338" t="str">
        <f t="shared" si="1"/>
        <v/>
      </c>
      <c r="N24" s="327"/>
      <c r="O24" s="338" t="str">
        <f t="shared" si="2"/>
        <v/>
      </c>
      <c r="P24" s="327"/>
      <c r="Q24" s="338" t="str">
        <f t="shared" si="3"/>
        <v/>
      </c>
      <c r="R24" s="327"/>
      <c r="S24" s="338" t="str">
        <f t="shared" si="4"/>
        <v/>
      </c>
      <c r="T24" s="327"/>
      <c r="U24" s="338" t="str">
        <f t="shared" si="5"/>
        <v/>
      </c>
      <c r="V24" s="327"/>
      <c r="W24" s="338" t="str">
        <f t="shared" si="6"/>
        <v/>
      </c>
      <c r="X24" s="327"/>
      <c r="Y24" s="338" t="str">
        <f t="shared" si="7"/>
        <v/>
      </c>
      <c r="Z24" s="327"/>
      <c r="AA24" s="338" t="str">
        <f t="shared" si="8"/>
        <v/>
      </c>
      <c r="AB24" s="327"/>
      <c r="AC24" s="338" t="str">
        <f t="shared" si="9"/>
        <v/>
      </c>
      <c r="AD24" s="327"/>
      <c r="AE24" s="338" t="str">
        <f t="shared" si="10"/>
        <v/>
      </c>
      <c r="AF24" s="327"/>
      <c r="AG24" s="338" t="str">
        <f t="shared" si="11"/>
        <v/>
      </c>
      <c r="AH24" s="327"/>
      <c r="AI24" s="338" t="str">
        <f t="shared" si="12"/>
        <v/>
      </c>
      <c r="AJ24" s="327"/>
      <c r="AK24" s="338" t="str">
        <f t="shared" si="13"/>
        <v/>
      </c>
      <c r="AL24" s="327"/>
      <c r="AM24" s="338" t="str">
        <f t="shared" si="14"/>
        <v/>
      </c>
      <c r="AN24" s="327"/>
      <c r="AO24" s="338" t="str">
        <f t="shared" si="15"/>
        <v/>
      </c>
      <c r="AP24" s="327"/>
      <c r="AQ24" s="338" t="str">
        <f t="shared" si="28"/>
        <v/>
      </c>
      <c r="AR24" s="327"/>
      <c r="AS24" s="338" t="str">
        <f t="shared" si="28"/>
        <v/>
      </c>
      <c r="AT24" s="327"/>
      <c r="AU24" s="338" t="str">
        <f t="shared" si="16"/>
        <v/>
      </c>
      <c r="AV24" s="327"/>
      <c r="AW24" s="338" t="str">
        <f t="shared" si="17"/>
        <v/>
      </c>
      <c r="AX24" s="327"/>
      <c r="AY24" s="338" t="str">
        <f t="shared" si="18"/>
        <v/>
      </c>
      <c r="AZ24" s="327"/>
      <c r="BA24" s="338" t="str">
        <f t="shared" si="19"/>
        <v/>
      </c>
      <c r="BB24" s="327"/>
      <c r="BC24" s="338" t="str">
        <f t="shared" si="20"/>
        <v/>
      </c>
      <c r="BD24" s="327"/>
      <c r="BE24" s="338" t="str">
        <f t="shared" si="21"/>
        <v/>
      </c>
      <c r="BF24" s="327"/>
      <c r="BG24" s="338" t="str">
        <f t="shared" si="22"/>
        <v/>
      </c>
      <c r="BH24" s="327"/>
      <c r="BI24" s="338" t="str">
        <f t="shared" si="23"/>
        <v/>
      </c>
      <c r="BJ24" s="327"/>
      <c r="BK24" s="338" t="str">
        <f t="shared" si="24"/>
        <v/>
      </c>
    </row>
    <row r="25" spans="1:63" ht="18" customHeight="1" x14ac:dyDescent="0.15">
      <c r="A25" s="335"/>
      <c r="B25" s="336" t="s">
        <v>656</v>
      </c>
      <c r="C25" s="337">
        <v>12</v>
      </c>
      <c r="D25" s="327"/>
      <c r="E25" s="338" t="str">
        <f t="shared" si="25"/>
        <v/>
      </c>
      <c r="F25" s="327"/>
      <c r="G25" s="338" t="str">
        <f t="shared" si="26"/>
        <v/>
      </c>
      <c r="H25" s="327"/>
      <c r="I25" s="338" t="str">
        <f t="shared" si="27"/>
        <v/>
      </c>
      <c r="J25" s="327"/>
      <c r="K25" s="338" t="str">
        <f t="shared" si="0"/>
        <v/>
      </c>
      <c r="L25" s="327"/>
      <c r="M25" s="338" t="str">
        <f t="shared" si="1"/>
        <v/>
      </c>
      <c r="N25" s="327"/>
      <c r="O25" s="338" t="str">
        <f t="shared" si="2"/>
        <v/>
      </c>
      <c r="P25" s="327"/>
      <c r="Q25" s="338" t="str">
        <f t="shared" si="3"/>
        <v/>
      </c>
      <c r="R25" s="327"/>
      <c r="S25" s="338" t="str">
        <f t="shared" si="4"/>
        <v/>
      </c>
      <c r="T25" s="327"/>
      <c r="U25" s="338" t="str">
        <f t="shared" si="5"/>
        <v/>
      </c>
      <c r="V25" s="327"/>
      <c r="W25" s="338" t="str">
        <f t="shared" si="6"/>
        <v/>
      </c>
      <c r="X25" s="327"/>
      <c r="Y25" s="338" t="str">
        <f t="shared" si="7"/>
        <v/>
      </c>
      <c r="Z25" s="327"/>
      <c r="AA25" s="338" t="str">
        <f t="shared" si="8"/>
        <v/>
      </c>
      <c r="AB25" s="327"/>
      <c r="AC25" s="338" t="str">
        <f t="shared" si="9"/>
        <v/>
      </c>
      <c r="AD25" s="327"/>
      <c r="AE25" s="338" t="str">
        <f t="shared" si="10"/>
        <v/>
      </c>
      <c r="AF25" s="327"/>
      <c r="AG25" s="338" t="str">
        <f t="shared" si="11"/>
        <v/>
      </c>
      <c r="AH25" s="327"/>
      <c r="AI25" s="338" t="str">
        <f t="shared" si="12"/>
        <v/>
      </c>
      <c r="AJ25" s="327"/>
      <c r="AK25" s="338" t="str">
        <f t="shared" si="13"/>
        <v/>
      </c>
      <c r="AL25" s="327"/>
      <c r="AM25" s="338" t="str">
        <f t="shared" si="14"/>
        <v/>
      </c>
      <c r="AN25" s="327"/>
      <c r="AO25" s="338" t="str">
        <f t="shared" si="15"/>
        <v/>
      </c>
      <c r="AP25" s="327"/>
      <c r="AQ25" s="338" t="str">
        <f t="shared" si="28"/>
        <v/>
      </c>
      <c r="AR25" s="327"/>
      <c r="AS25" s="338" t="str">
        <f t="shared" si="28"/>
        <v/>
      </c>
      <c r="AT25" s="327"/>
      <c r="AU25" s="338" t="str">
        <f t="shared" si="16"/>
        <v/>
      </c>
      <c r="AV25" s="327"/>
      <c r="AW25" s="338" t="str">
        <f t="shared" si="17"/>
        <v/>
      </c>
      <c r="AX25" s="327"/>
      <c r="AY25" s="338" t="str">
        <f t="shared" si="18"/>
        <v/>
      </c>
      <c r="AZ25" s="327"/>
      <c r="BA25" s="338" t="str">
        <f t="shared" si="19"/>
        <v/>
      </c>
      <c r="BB25" s="327"/>
      <c r="BC25" s="338" t="str">
        <f t="shared" si="20"/>
        <v/>
      </c>
      <c r="BD25" s="327"/>
      <c r="BE25" s="338" t="str">
        <f t="shared" si="21"/>
        <v/>
      </c>
      <c r="BF25" s="327"/>
      <c r="BG25" s="338" t="str">
        <f t="shared" si="22"/>
        <v/>
      </c>
      <c r="BH25" s="327"/>
      <c r="BI25" s="338" t="str">
        <f t="shared" si="23"/>
        <v/>
      </c>
      <c r="BJ25" s="327"/>
      <c r="BK25" s="338" t="str">
        <f t="shared" si="24"/>
        <v/>
      </c>
    </row>
    <row r="26" spans="1:63" ht="18" customHeight="1" x14ac:dyDescent="0.15">
      <c r="A26" s="335"/>
      <c r="B26" s="336" t="s">
        <v>657</v>
      </c>
      <c r="C26" s="337">
        <v>12</v>
      </c>
      <c r="D26" s="327"/>
      <c r="E26" s="338" t="str">
        <f t="shared" si="25"/>
        <v/>
      </c>
      <c r="F26" s="327"/>
      <c r="G26" s="338" t="str">
        <f t="shared" si="26"/>
        <v/>
      </c>
      <c r="H26" s="327"/>
      <c r="I26" s="338" t="str">
        <f t="shared" si="27"/>
        <v/>
      </c>
      <c r="J26" s="327"/>
      <c r="K26" s="338" t="str">
        <f t="shared" si="0"/>
        <v/>
      </c>
      <c r="L26" s="327"/>
      <c r="M26" s="338" t="str">
        <f t="shared" si="1"/>
        <v/>
      </c>
      <c r="N26" s="327"/>
      <c r="O26" s="338" t="str">
        <f t="shared" si="2"/>
        <v/>
      </c>
      <c r="P26" s="327"/>
      <c r="Q26" s="338" t="str">
        <f t="shared" si="3"/>
        <v/>
      </c>
      <c r="R26" s="327"/>
      <c r="S26" s="338" t="str">
        <f t="shared" si="4"/>
        <v/>
      </c>
      <c r="T26" s="327"/>
      <c r="U26" s="338" t="str">
        <f t="shared" si="5"/>
        <v/>
      </c>
      <c r="V26" s="327"/>
      <c r="W26" s="338" t="str">
        <f t="shared" si="6"/>
        <v/>
      </c>
      <c r="X26" s="327"/>
      <c r="Y26" s="338" t="str">
        <f t="shared" si="7"/>
        <v/>
      </c>
      <c r="Z26" s="327"/>
      <c r="AA26" s="338" t="str">
        <f t="shared" si="8"/>
        <v/>
      </c>
      <c r="AB26" s="327"/>
      <c r="AC26" s="338" t="str">
        <f t="shared" si="9"/>
        <v/>
      </c>
      <c r="AD26" s="327"/>
      <c r="AE26" s="338" t="str">
        <f t="shared" si="10"/>
        <v/>
      </c>
      <c r="AF26" s="327"/>
      <c r="AG26" s="338" t="str">
        <f t="shared" si="11"/>
        <v/>
      </c>
      <c r="AH26" s="327"/>
      <c r="AI26" s="338" t="str">
        <f t="shared" si="12"/>
        <v/>
      </c>
      <c r="AJ26" s="327"/>
      <c r="AK26" s="338" t="str">
        <f t="shared" si="13"/>
        <v/>
      </c>
      <c r="AL26" s="327"/>
      <c r="AM26" s="338" t="str">
        <f t="shared" si="14"/>
        <v/>
      </c>
      <c r="AN26" s="327"/>
      <c r="AO26" s="338" t="str">
        <f t="shared" si="15"/>
        <v/>
      </c>
      <c r="AP26" s="327"/>
      <c r="AQ26" s="338" t="str">
        <f t="shared" si="28"/>
        <v/>
      </c>
      <c r="AR26" s="327"/>
      <c r="AS26" s="338" t="str">
        <f t="shared" si="28"/>
        <v/>
      </c>
      <c r="AT26" s="327"/>
      <c r="AU26" s="338" t="str">
        <f t="shared" si="16"/>
        <v/>
      </c>
      <c r="AV26" s="327"/>
      <c r="AW26" s="338" t="str">
        <f t="shared" si="17"/>
        <v/>
      </c>
      <c r="AX26" s="327"/>
      <c r="AY26" s="338" t="str">
        <f t="shared" si="18"/>
        <v/>
      </c>
      <c r="AZ26" s="327"/>
      <c r="BA26" s="338" t="str">
        <f t="shared" si="19"/>
        <v/>
      </c>
      <c r="BB26" s="327"/>
      <c r="BC26" s="338" t="str">
        <f t="shared" si="20"/>
        <v/>
      </c>
      <c r="BD26" s="327"/>
      <c r="BE26" s="338" t="str">
        <f t="shared" si="21"/>
        <v/>
      </c>
      <c r="BF26" s="327"/>
      <c r="BG26" s="338" t="str">
        <f t="shared" si="22"/>
        <v/>
      </c>
      <c r="BH26" s="327"/>
      <c r="BI26" s="338" t="str">
        <f t="shared" si="23"/>
        <v/>
      </c>
      <c r="BJ26" s="327"/>
      <c r="BK26" s="338" t="str">
        <f t="shared" si="24"/>
        <v/>
      </c>
    </row>
    <row r="27" spans="1:63" ht="18" customHeight="1" x14ac:dyDescent="0.15">
      <c r="A27" s="335"/>
      <c r="B27" s="336" t="s">
        <v>658</v>
      </c>
      <c r="C27" s="337">
        <v>12</v>
      </c>
      <c r="D27" s="327"/>
      <c r="E27" s="338" t="str">
        <f t="shared" si="25"/>
        <v/>
      </c>
      <c r="F27" s="327"/>
      <c r="G27" s="338" t="str">
        <f t="shared" si="26"/>
        <v/>
      </c>
      <c r="H27" s="327"/>
      <c r="I27" s="338" t="str">
        <f t="shared" si="27"/>
        <v/>
      </c>
      <c r="J27" s="327"/>
      <c r="K27" s="338" t="str">
        <f t="shared" si="0"/>
        <v/>
      </c>
      <c r="L27" s="327"/>
      <c r="M27" s="338" t="str">
        <f t="shared" si="1"/>
        <v/>
      </c>
      <c r="N27" s="327"/>
      <c r="O27" s="338" t="str">
        <f t="shared" si="2"/>
        <v/>
      </c>
      <c r="P27" s="327"/>
      <c r="Q27" s="338" t="str">
        <f t="shared" si="3"/>
        <v/>
      </c>
      <c r="R27" s="327"/>
      <c r="S27" s="338" t="str">
        <f t="shared" si="4"/>
        <v/>
      </c>
      <c r="T27" s="327"/>
      <c r="U27" s="338" t="str">
        <f t="shared" si="5"/>
        <v/>
      </c>
      <c r="V27" s="327"/>
      <c r="W27" s="338" t="str">
        <f t="shared" si="6"/>
        <v/>
      </c>
      <c r="X27" s="327"/>
      <c r="Y27" s="338" t="str">
        <f t="shared" si="7"/>
        <v/>
      </c>
      <c r="Z27" s="327"/>
      <c r="AA27" s="338" t="str">
        <f t="shared" si="8"/>
        <v/>
      </c>
      <c r="AB27" s="327"/>
      <c r="AC27" s="338" t="str">
        <f t="shared" si="9"/>
        <v/>
      </c>
      <c r="AD27" s="327"/>
      <c r="AE27" s="338" t="str">
        <f t="shared" si="10"/>
        <v/>
      </c>
      <c r="AF27" s="327"/>
      <c r="AG27" s="338" t="str">
        <f t="shared" si="11"/>
        <v/>
      </c>
      <c r="AH27" s="327"/>
      <c r="AI27" s="338" t="str">
        <f t="shared" si="12"/>
        <v/>
      </c>
      <c r="AJ27" s="327"/>
      <c r="AK27" s="338" t="str">
        <f t="shared" si="13"/>
        <v/>
      </c>
      <c r="AL27" s="327"/>
      <c r="AM27" s="338" t="str">
        <f t="shared" si="14"/>
        <v/>
      </c>
      <c r="AN27" s="327"/>
      <c r="AO27" s="338" t="str">
        <f t="shared" si="15"/>
        <v/>
      </c>
      <c r="AP27" s="327"/>
      <c r="AQ27" s="338" t="str">
        <f t="shared" si="28"/>
        <v/>
      </c>
      <c r="AR27" s="327"/>
      <c r="AS27" s="338" t="str">
        <f t="shared" si="28"/>
        <v/>
      </c>
      <c r="AT27" s="327"/>
      <c r="AU27" s="338" t="str">
        <f t="shared" si="16"/>
        <v/>
      </c>
      <c r="AV27" s="327"/>
      <c r="AW27" s="338" t="str">
        <f t="shared" si="17"/>
        <v/>
      </c>
      <c r="AX27" s="327"/>
      <c r="AY27" s="338" t="str">
        <f t="shared" si="18"/>
        <v/>
      </c>
      <c r="AZ27" s="327"/>
      <c r="BA27" s="338" t="str">
        <f t="shared" si="19"/>
        <v/>
      </c>
      <c r="BB27" s="327"/>
      <c r="BC27" s="338" t="str">
        <f t="shared" si="20"/>
        <v/>
      </c>
      <c r="BD27" s="327"/>
      <c r="BE27" s="338" t="str">
        <f t="shared" si="21"/>
        <v/>
      </c>
      <c r="BF27" s="327"/>
      <c r="BG27" s="338" t="str">
        <f t="shared" si="22"/>
        <v/>
      </c>
      <c r="BH27" s="327"/>
      <c r="BI27" s="338" t="str">
        <f t="shared" si="23"/>
        <v/>
      </c>
      <c r="BJ27" s="327"/>
      <c r="BK27" s="338" t="str">
        <f t="shared" si="24"/>
        <v/>
      </c>
    </row>
    <row r="28" spans="1:63" ht="18" customHeight="1" x14ac:dyDescent="0.15">
      <c r="A28" s="335"/>
      <c r="B28" s="336" t="s">
        <v>659</v>
      </c>
      <c r="C28" s="337">
        <v>12</v>
      </c>
      <c r="D28" s="327"/>
      <c r="E28" s="338" t="str">
        <f t="shared" si="25"/>
        <v/>
      </c>
      <c r="F28" s="327"/>
      <c r="G28" s="338" t="str">
        <f t="shared" si="26"/>
        <v/>
      </c>
      <c r="H28" s="327"/>
      <c r="I28" s="338" t="str">
        <f t="shared" si="27"/>
        <v/>
      </c>
      <c r="J28" s="327"/>
      <c r="K28" s="338" t="str">
        <f t="shared" si="0"/>
        <v/>
      </c>
      <c r="L28" s="327"/>
      <c r="M28" s="338" t="str">
        <f t="shared" si="1"/>
        <v/>
      </c>
      <c r="N28" s="327"/>
      <c r="O28" s="338" t="str">
        <f t="shared" si="2"/>
        <v/>
      </c>
      <c r="P28" s="327"/>
      <c r="Q28" s="338" t="str">
        <f t="shared" si="3"/>
        <v/>
      </c>
      <c r="R28" s="327"/>
      <c r="S28" s="338" t="str">
        <f t="shared" si="4"/>
        <v/>
      </c>
      <c r="T28" s="327"/>
      <c r="U28" s="338" t="str">
        <f t="shared" si="5"/>
        <v/>
      </c>
      <c r="V28" s="327"/>
      <c r="W28" s="338" t="str">
        <f t="shared" si="6"/>
        <v/>
      </c>
      <c r="X28" s="327"/>
      <c r="Y28" s="338" t="str">
        <f t="shared" si="7"/>
        <v/>
      </c>
      <c r="Z28" s="327"/>
      <c r="AA28" s="338" t="str">
        <f t="shared" si="8"/>
        <v/>
      </c>
      <c r="AB28" s="327"/>
      <c r="AC28" s="338" t="str">
        <f t="shared" si="9"/>
        <v/>
      </c>
      <c r="AD28" s="327"/>
      <c r="AE28" s="338" t="str">
        <f t="shared" si="10"/>
        <v/>
      </c>
      <c r="AF28" s="327"/>
      <c r="AG28" s="338" t="str">
        <f t="shared" si="11"/>
        <v/>
      </c>
      <c r="AH28" s="327"/>
      <c r="AI28" s="338" t="str">
        <f t="shared" si="12"/>
        <v/>
      </c>
      <c r="AJ28" s="327"/>
      <c r="AK28" s="338" t="str">
        <f t="shared" si="13"/>
        <v/>
      </c>
      <c r="AL28" s="327"/>
      <c r="AM28" s="338" t="str">
        <f t="shared" si="14"/>
        <v/>
      </c>
      <c r="AN28" s="327"/>
      <c r="AO28" s="338" t="str">
        <f t="shared" si="15"/>
        <v/>
      </c>
      <c r="AP28" s="327"/>
      <c r="AQ28" s="338" t="str">
        <f t="shared" si="28"/>
        <v/>
      </c>
      <c r="AR28" s="327"/>
      <c r="AS28" s="338" t="str">
        <f t="shared" si="28"/>
        <v/>
      </c>
      <c r="AT28" s="327"/>
      <c r="AU28" s="338" t="str">
        <f t="shared" si="16"/>
        <v/>
      </c>
      <c r="AV28" s="327"/>
      <c r="AW28" s="338" t="str">
        <f t="shared" si="17"/>
        <v/>
      </c>
      <c r="AX28" s="327"/>
      <c r="AY28" s="338" t="str">
        <f t="shared" si="18"/>
        <v/>
      </c>
      <c r="AZ28" s="327"/>
      <c r="BA28" s="338" t="str">
        <f t="shared" si="19"/>
        <v/>
      </c>
      <c r="BB28" s="327"/>
      <c r="BC28" s="338" t="str">
        <f t="shared" si="20"/>
        <v/>
      </c>
      <c r="BD28" s="327"/>
      <c r="BE28" s="338" t="str">
        <f t="shared" si="21"/>
        <v/>
      </c>
      <c r="BF28" s="327"/>
      <c r="BG28" s="338" t="str">
        <f t="shared" si="22"/>
        <v/>
      </c>
      <c r="BH28" s="327"/>
      <c r="BI28" s="338" t="str">
        <f t="shared" si="23"/>
        <v/>
      </c>
      <c r="BJ28" s="327"/>
      <c r="BK28" s="338" t="str">
        <f t="shared" si="24"/>
        <v/>
      </c>
    </row>
    <row r="29" spans="1:63" ht="18" customHeight="1" x14ac:dyDescent="0.15">
      <c r="A29" s="335"/>
      <c r="B29" s="336" t="s">
        <v>660</v>
      </c>
      <c r="C29" s="337">
        <v>12</v>
      </c>
      <c r="D29" s="327"/>
      <c r="E29" s="338" t="str">
        <f t="shared" si="25"/>
        <v/>
      </c>
      <c r="F29" s="327"/>
      <c r="G29" s="338" t="str">
        <f t="shared" si="26"/>
        <v/>
      </c>
      <c r="H29" s="327"/>
      <c r="I29" s="338" t="str">
        <f t="shared" si="27"/>
        <v/>
      </c>
      <c r="J29" s="327"/>
      <c r="K29" s="338" t="str">
        <f t="shared" si="0"/>
        <v/>
      </c>
      <c r="L29" s="327"/>
      <c r="M29" s="338" t="str">
        <f t="shared" si="1"/>
        <v/>
      </c>
      <c r="N29" s="327"/>
      <c r="O29" s="338" t="str">
        <f t="shared" si="2"/>
        <v/>
      </c>
      <c r="P29" s="327"/>
      <c r="Q29" s="338" t="str">
        <f t="shared" si="3"/>
        <v/>
      </c>
      <c r="R29" s="327"/>
      <c r="S29" s="338" t="str">
        <f t="shared" si="4"/>
        <v/>
      </c>
      <c r="T29" s="327"/>
      <c r="U29" s="338" t="str">
        <f t="shared" si="5"/>
        <v/>
      </c>
      <c r="V29" s="327"/>
      <c r="W29" s="338" t="str">
        <f t="shared" si="6"/>
        <v/>
      </c>
      <c r="X29" s="327"/>
      <c r="Y29" s="338" t="str">
        <f t="shared" si="7"/>
        <v/>
      </c>
      <c r="Z29" s="327"/>
      <c r="AA29" s="338" t="str">
        <f t="shared" si="8"/>
        <v/>
      </c>
      <c r="AB29" s="327"/>
      <c r="AC29" s="338" t="str">
        <f t="shared" si="9"/>
        <v/>
      </c>
      <c r="AD29" s="327"/>
      <c r="AE29" s="338" t="str">
        <f t="shared" si="10"/>
        <v/>
      </c>
      <c r="AF29" s="327"/>
      <c r="AG29" s="338" t="str">
        <f t="shared" si="11"/>
        <v/>
      </c>
      <c r="AH29" s="327"/>
      <c r="AI29" s="338" t="str">
        <f t="shared" si="12"/>
        <v/>
      </c>
      <c r="AJ29" s="327"/>
      <c r="AK29" s="338" t="str">
        <f t="shared" si="13"/>
        <v/>
      </c>
      <c r="AL29" s="327"/>
      <c r="AM29" s="338" t="str">
        <f t="shared" si="14"/>
        <v/>
      </c>
      <c r="AN29" s="327"/>
      <c r="AO29" s="338" t="str">
        <f t="shared" si="15"/>
        <v/>
      </c>
      <c r="AP29" s="327"/>
      <c r="AQ29" s="338" t="str">
        <f t="shared" si="28"/>
        <v/>
      </c>
      <c r="AR29" s="327"/>
      <c r="AS29" s="338" t="str">
        <f t="shared" si="28"/>
        <v/>
      </c>
      <c r="AT29" s="327"/>
      <c r="AU29" s="338" t="str">
        <f t="shared" si="16"/>
        <v/>
      </c>
      <c r="AV29" s="327"/>
      <c r="AW29" s="338" t="str">
        <f t="shared" si="17"/>
        <v/>
      </c>
      <c r="AX29" s="327"/>
      <c r="AY29" s="338" t="str">
        <f t="shared" si="18"/>
        <v/>
      </c>
      <c r="AZ29" s="327"/>
      <c r="BA29" s="338" t="str">
        <f t="shared" si="19"/>
        <v/>
      </c>
      <c r="BB29" s="327"/>
      <c r="BC29" s="338" t="str">
        <f t="shared" si="20"/>
        <v/>
      </c>
      <c r="BD29" s="327"/>
      <c r="BE29" s="338" t="str">
        <f t="shared" si="21"/>
        <v/>
      </c>
      <c r="BF29" s="327"/>
      <c r="BG29" s="338" t="str">
        <f t="shared" si="22"/>
        <v/>
      </c>
      <c r="BH29" s="327"/>
      <c r="BI29" s="338" t="str">
        <f t="shared" si="23"/>
        <v/>
      </c>
      <c r="BJ29" s="327"/>
      <c r="BK29" s="338" t="str">
        <f t="shared" si="24"/>
        <v/>
      </c>
    </row>
    <row r="30" spans="1:63" ht="18" customHeight="1" thickBot="1" x14ac:dyDescent="0.2">
      <c r="A30" s="335"/>
      <c r="B30" s="339" t="s">
        <v>661</v>
      </c>
      <c r="C30" s="340">
        <v>12</v>
      </c>
      <c r="D30" s="328"/>
      <c r="E30" s="338" t="str">
        <f t="shared" si="25"/>
        <v/>
      </c>
      <c r="F30" s="328"/>
      <c r="G30" s="338" t="str">
        <f t="shared" si="26"/>
        <v/>
      </c>
      <c r="H30" s="328"/>
      <c r="I30" s="338" t="str">
        <f t="shared" si="27"/>
        <v/>
      </c>
      <c r="J30" s="328"/>
      <c r="K30" s="338" t="str">
        <f t="shared" si="0"/>
        <v/>
      </c>
      <c r="L30" s="328"/>
      <c r="M30" s="338" t="str">
        <f t="shared" si="1"/>
        <v/>
      </c>
      <c r="N30" s="328"/>
      <c r="O30" s="338" t="str">
        <f t="shared" si="2"/>
        <v/>
      </c>
      <c r="P30" s="328"/>
      <c r="Q30" s="338" t="str">
        <f t="shared" si="3"/>
        <v/>
      </c>
      <c r="R30" s="328"/>
      <c r="S30" s="338" t="str">
        <f t="shared" si="4"/>
        <v/>
      </c>
      <c r="T30" s="328"/>
      <c r="U30" s="338" t="str">
        <f t="shared" si="5"/>
        <v/>
      </c>
      <c r="V30" s="328"/>
      <c r="W30" s="338" t="str">
        <f t="shared" si="6"/>
        <v/>
      </c>
      <c r="X30" s="328"/>
      <c r="Y30" s="338" t="str">
        <f t="shared" si="7"/>
        <v/>
      </c>
      <c r="Z30" s="328"/>
      <c r="AA30" s="338" t="str">
        <f t="shared" si="8"/>
        <v/>
      </c>
      <c r="AB30" s="328"/>
      <c r="AC30" s="338" t="str">
        <f t="shared" si="9"/>
        <v/>
      </c>
      <c r="AD30" s="328"/>
      <c r="AE30" s="338" t="str">
        <f t="shared" si="10"/>
        <v/>
      </c>
      <c r="AF30" s="328"/>
      <c r="AG30" s="338" t="str">
        <f t="shared" si="11"/>
        <v/>
      </c>
      <c r="AH30" s="328"/>
      <c r="AI30" s="338" t="str">
        <f t="shared" si="12"/>
        <v/>
      </c>
      <c r="AJ30" s="328"/>
      <c r="AK30" s="338" t="str">
        <f t="shared" si="13"/>
        <v/>
      </c>
      <c r="AL30" s="328"/>
      <c r="AM30" s="338" t="str">
        <f t="shared" si="14"/>
        <v/>
      </c>
      <c r="AN30" s="328"/>
      <c r="AO30" s="338" t="str">
        <f t="shared" si="15"/>
        <v/>
      </c>
      <c r="AP30" s="328"/>
      <c r="AQ30" s="338" t="str">
        <f t="shared" si="28"/>
        <v/>
      </c>
      <c r="AR30" s="328"/>
      <c r="AS30" s="338" t="str">
        <f t="shared" si="28"/>
        <v/>
      </c>
      <c r="AT30" s="328"/>
      <c r="AU30" s="338" t="str">
        <f t="shared" si="16"/>
        <v/>
      </c>
      <c r="AV30" s="328"/>
      <c r="AW30" s="338" t="str">
        <f t="shared" si="17"/>
        <v/>
      </c>
      <c r="AX30" s="328"/>
      <c r="AY30" s="338" t="str">
        <f t="shared" si="18"/>
        <v/>
      </c>
      <c r="AZ30" s="328"/>
      <c r="BA30" s="338" t="str">
        <f t="shared" si="19"/>
        <v/>
      </c>
      <c r="BB30" s="328"/>
      <c r="BC30" s="338" t="str">
        <f t="shared" si="20"/>
        <v/>
      </c>
      <c r="BD30" s="328"/>
      <c r="BE30" s="338" t="str">
        <f t="shared" si="21"/>
        <v/>
      </c>
      <c r="BF30" s="328"/>
      <c r="BG30" s="338" t="str">
        <f t="shared" si="22"/>
        <v/>
      </c>
      <c r="BH30" s="328"/>
      <c r="BI30" s="338" t="str">
        <f t="shared" si="23"/>
        <v/>
      </c>
      <c r="BJ30" s="328"/>
      <c r="BK30" s="338" t="str">
        <f t="shared" si="24"/>
        <v/>
      </c>
    </row>
    <row r="31" spans="1:63" ht="24.95" customHeight="1" thickTop="1" thickBot="1" x14ac:dyDescent="0.2">
      <c r="A31" s="335"/>
      <c r="B31" s="341" t="s">
        <v>686</v>
      </c>
      <c r="C31" s="342">
        <f>E31+G31+I31+K31+M31+O31+Q31+S31+U31+W31+Y31+AA31+AC31+AE31+AG31+AI31+AK31+AM31+AO31+AQ31+AS31+AU31+AW31+AY31+BA31+BC31+BE31+BG31+BI31+BK31</f>
        <v>115</v>
      </c>
      <c r="D31" s="343"/>
      <c r="E31" s="344">
        <f>IF(SUM(E4:E30)&gt;30,30,SUM(E4:E30))</f>
        <v>12</v>
      </c>
      <c r="F31" s="345"/>
      <c r="G31" s="344">
        <f>IF(SUM(G4:G30)&gt;30,30,SUM(G4:G30))</f>
        <v>25</v>
      </c>
      <c r="H31" s="345"/>
      <c r="I31" s="344">
        <f>IF(SUM(I4:I30)&gt;30,30,SUM(I4:I30))</f>
        <v>30</v>
      </c>
      <c r="J31" s="345"/>
      <c r="K31" s="344">
        <f>IF(SUM(K4:K30)&gt;30,30,SUM(K4:K30))</f>
        <v>18</v>
      </c>
      <c r="L31" s="345"/>
      <c r="M31" s="344">
        <f>IF(SUM(M4:M30)&gt;30,30,SUM(M4:M30))</f>
        <v>30</v>
      </c>
      <c r="N31" s="345"/>
      <c r="O31" s="344">
        <f>IF(SUM(O4:O30)&gt;30,30,SUM(O4:O30))</f>
        <v>0</v>
      </c>
      <c r="P31" s="345"/>
      <c r="Q31" s="344">
        <f>IF(SUM(Q4:Q30)&gt;30,30,SUM(Q4:Q30))</f>
        <v>0</v>
      </c>
      <c r="R31" s="345"/>
      <c r="S31" s="344">
        <f>IF(SUM(S4:S30)&gt;30,30,SUM(S4:S30))</f>
        <v>0</v>
      </c>
      <c r="T31" s="345"/>
      <c r="U31" s="344">
        <f>IF(SUM(U4:U30)&gt;30,30,SUM(U4:U30))</f>
        <v>0</v>
      </c>
      <c r="V31" s="345"/>
      <c r="W31" s="344">
        <f>IF(SUM(W4:W30)&gt;30,30,SUM(W4:W30))</f>
        <v>0</v>
      </c>
      <c r="X31" s="345"/>
      <c r="Y31" s="344">
        <f>IF(SUM(Y4:Y30)&gt;30,30,SUM(Y4:Y30))</f>
        <v>0</v>
      </c>
      <c r="Z31" s="345"/>
      <c r="AA31" s="344">
        <f>IF(SUM(AA4:AA30)&gt;30,30,SUM(AA4:AA30))</f>
        <v>0</v>
      </c>
      <c r="AB31" s="345"/>
      <c r="AC31" s="344">
        <f>IF(SUM(AC4:AC30)&gt;30,30,SUM(AC4:AC30))</f>
        <v>0</v>
      </c>
      <c r="AD31" s="345"/>
      <c r="AE31" s="344">
        <f>IF(SUM(AE4:AE30)&gt;30,30,SUM(AE4:AE30))</f>
        <v>0</v>
      </c>
      <c r="AF31" s="345"/>
      <c r="AG31" s="344">
        <f>IF(SUM(AG4:AG30)&gt;30,30,SUM(AG4:AG30))</f>
        <v>0</v>
      </c>
      <c r="AH31" s="345"/>
      <c r="AI31" s="344">
        <f>IF(SUM(AI4:AI30)&gt;30,30,SUM(AI4:AI30))</f>
        <v>0</v>
      </c>
      <c r="AJ31" s="345"/>
      <c r="AK31" s="344">
        <f>IF(SUM(AK4:AK30)&gt;30,30,SUM(AK4:AK30))</f>
        <v>0</v>
      </c>
      <c r="AL31" s="345"/>
      <c r="AM31" s="344">
        <f>IF(SUM(AM4:AM30)&gt;30,30,SUM(AM4:AM30))</f>
        <v>0</v>
      </c>
      <c r="AN31" s="345"/>
      <c r="AO31" s="344">
        <f>IF(SUM(AO4:AO30)&gt;30,30,SUM(AO4:AO30))</f>
        <v>0</v>
      </c>
      <c r="AP31" s="345"/>
      <c r="AQ31" s="344">
        <f>IF(SUM(AQ4:AQ30)&gt;30,30,SUM(AQ4:AQ30))</f>
        <v>0</v>
      </c>
      <c r="AR31" s="345"/>
      <c r="AS31" s="344">
        <f>IF(SUM(AS4:AS30)&gt;30,30,SUM(AS4:AS30))</f>
        <v>0</v>
      </c>
      <c r="AT31" s="345"/>
      <c r="AU31" s="344">
        <f>IF(SUM(AU4:AU30)&gt;30,30,SUM(AU4:AU30))</f>
        <v>0</v>
      </c>
      <c r="AV31" s="345"/>
      <c r="AW31" s="344">
        <f>IF(SUM(AW4:AW30)&gt;30,30,SUM(AW4:AW30))</f>
        <v>0</v>
      </c>
      <c r="AX31" s="345"/>
      <c r="AY31" s="344">
        <f>IF(SUM(AY4:AY30)&gt;30,30,SUM(AY4:AY30))</f>
        <v>0</v>
      </c>
      <c r="AZ31" s="345"/>
      <c r="BA31" s="344">
        <f>IF(SUM(BA4:BA30)&gt;30,30,SUM(BA4:BA30))</f>
        <v>0</v>
      </c>
      <c r="BB31" s="345"/>
      <c r="BC31" s="344">
        <f>IF(SUM(BC4:BC30)&gt;30,30,SUM(BC4:BC30))</f>
        <v>0</v>
      </c>
      <c r="BD31" s="345"/>
      <c r="BE31" s="344">
        <f>IF(SUM(BE4:BE30)&gt;30,30,SUM(BE4:BE30))</f>
        <v>0</v>
      </c>
      <c r="BF31" s="345"/>
      <c r="BG31" s="344">
        <f>IF(SUM(BG4:BG30)&gt;30,30,SUM(BG4:BG30))</f>
        <v>0</v>
      </c>
      <c r="BH31" s="345"/>
      <c r="BI31" s="344">
        <f>IF(SUM(BI4:BI30)&gt;30,30,SUM(BI4:BI30))</f>
        <v>0</v>
      </c>
      <c r="BJ31" s="345"/>
      <c r="BK31" s="344">
        <f>IF(SUM(BK4:BK30)&gt;30,30,SUM(BK4:BK30))</f>
        <v>0</v>
      </c>
    </row>
    <row r="32" spans="1:63" ht="18" customHeight="1" thickTop="1" x14ac:dyDescent="0.15">
      <c r="B32" s="346"/>
      <c r="D32" s="347" t="s">
        <v>683</v>
      </c>
    </row>
    <row r="33" spans="2:11" ht="18" customHeight="1" x14ac:dyDescent="0.15">
      <c r="B33" s="346"/>
      <c r="D33" s="17" t="s">
        <v>685</v>
      </c>
    </row>
    <row r="34" spans="2:11" ht="18" customHeight="1" x14ac:dyDescent="0.15">
      <c r="B34" s="346"/>
      <c r="D34" s="347" t="s">
        <v>687</v>
      </c>
    </row>
    <row r="35" spans="2:11" ht="18" customHeight="1" x14ac:dyDescent="0.15">
      <c r="B35" s="346"/>
      <c r="D35" s="347" t="s">
        <v>698</v>
      </c>
    </row>
    <row r="40" spans="2:11" ht="18" customHeight="1" x14ac:dyDescent="0.15">
      <c r="K40" s="349"/>
    </row>
  </sheetData>
  <sheetProtection algorithmName="SHA-512" hashValue="KxEkJPlsGPJo6RFst0zRDoJy7+h/kxX/wU9ZXLpBU25Qp7LLdP1JDYonXPvgTC0s+Y+lsR/0fP3hC1xrx6ozeg==" saltValue="oBhsS8c2WsVnKMbarIyDyw==" spinCount="100000" sheet="1" objects="1" scenarios="1" selectLockedCells="1"/>
  <mergeCells count="32">
    <mergeCell ref="BD2:BE2"/>
    <mergeCell ref="BH2:BI2"/>
    <mergeCell ref="BJ2:BK2"/>
    <mergeCell ref="AR2:AS2"/>
    <mergeCell ref="AT2:AU2"/>
    <mergeCell ref="AV2:AW2"/>
    <mergeCell ref="AX2:AY2"/>
    <mergeCell ref="BF2:BG2"/>
    <mergeCell ref="AZ2:BA2"/>
    <mergeCell ref="BB2:BC2"/>
    <mergeCell ref="AN2:AO2"/>
    <mergeCell ref="AP2:AQ2"/>
    <mergeCell ref="X2:Y2"/>
    <mergeCell ref="Z2:AA2"/>
    <mergeCell ref="P2:Q2"/>
    <mergeCell ref="R2:S2"/>
    <mergeCell ref="AJ2:AK2"/>
    <mergeCell ref="AL2:AM2"/>
    <mergeCell ref="V2:W2"/>
    <mergeCell ref="AB2:AC2"/>
    <mergeCell ref="AD2:AE2"/>
    <mergeCell ref="AF2:AG2"/>
    <mergeCell ref="AH2:AI2"/>
    <mergeCell ref="B2:B3"/>
    <mergeCell ref="D2:E2"/>
    <mergeCell ref="F2:G2"/>
    <mergeCell ref="C2:C3"/>
    <mergeCell ref="T2:U2"/>
    <mergeCell ref="H2:I2"/>
    <mergeCell ref="J2:K2"/>
    <mergeCell ref="L2:M2"/>
    <mergeCell ref="N2:O2"/>
  </mergeCells>
  <phoneticPr fontId="2"/>
  <dataValidations count="1">
    <dataValidation imeMode="disabled" allowBlank="1" showInputMessage="1" showErrorMessage="1" sqref="D27:D31 S4:S30 T4:T16 D18:D25 E4:E30 F27:F31 F18:F25 F4:F16 H4:H16 H27:H31 H18:H25 G4:G30 J4:J16 J27:J31 J18:J25 I4:I30 L4:L16 L27:L31 L18:L25 K4:K30 N4:N16 N27:N31 N18:N25 M4:M30 P4:P16 P27:P31 P18:P25 O4:O30 R4:R16 R27:R31 R18:R25 Q4:Q30 T27:T31 T18:T25 V27:V31 V18:V25 U4:U30 V4:V16 X27:X31 X18:X25 W4:W30 X4:X16 Z27:Z31 Z18:Z25 Y4:Y30 Z4:Z16 AB27:AB31 AB18:AB25 AA4:AA30 AB4:AB16 AD27:AD31 AD18:AD25 AC4:AC30 AD4:AD16 AF27:AF31 AF18:AF25 AE4:AE30 AF4:AF16 AH27:AH31 AH18:AH25 AG4:AG30 AH4:AH16 AJ27:AJ31 AJ18:AJ25 AI4:AI30 AJ4:AJ16 AL27:AL31 AL18:AL25 AK4:AK30 AL4:AL16 AN27:AN31 AN18:AN25 AM4:AM30 AN4:AN16 AP4:AP16 AP27:AP31 AP18:AP25 AO4:AO30 D4:D16 AQ4:AQ30 AR4:AR16 AR27:AR31 AR18:AR25 AS4:AS30 AT4:AT16 AT27:AT31 AT18:AT25 AU4:AU30 AV4:AV16 AV27:AV31 AV18:AV25 AW4:AW30 AX4:AX16 AX27:AX31 AX18:AX25 AY4:AY30 AZ4:AZ16 AZ27:AZ31 AZ18:AZ25 BA4:BA30 BB4:BB16 BB27:BB31 BB18:BB25 BC4:BC30 BD4:BD16 BD27:BD31 BD18:BD25 BE4:BE30 BF4:BF16 BF27:BF31 BF18:BF25 BG4:BG30 BH4:BH16 BH27:BH31 BH18:BH25 BI4:BI30 BJ4:BJ16 BJ27:BJ31 BJ18:BJ25 BK4:BK30" xr:uid="{00000000-0002-0000-0B00-000000000000}"/>
  </dataValidations>
  <printOptions horizontalCentered="1" verticalCentered="1"/>
  <pageMargins left="0.19685039370078741" right="0.19685039370078741" top="0.19685039370078741" bottom="0.19685039370078741" header="0" footer="0"/>
  <pageSetup paperSize="9" scale="90" orientation="landscape" blackAndWhite="1" horizontalDpi="300" verticalDpi="300" r:id="rId1"/>
  <headerFooter alignWithMargins="0"/>
  <colBreaks count="2" manualBreakCount="2">
    <brk id="23" max="1048575" man="1"/>
    <brk id="4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indexed="46"/>
    <pageSetUpPr autoPageBreaks="0" fitToPage="1"/>
  </sheetPr>
  <dimension ref="A2:P40"/>
  <sheetViews>
    <sheetView workbookViewId="0"/>
  </sheetViews>
  <sheetFormatPr defaultColWidth="2.625" defaultRowHeight="12" customHeight="1" x14ac:dyDescent="0.15"/>
  <cols>
    <col min="1" max="1" width="2.125" style="24" customWidth="1"/>
    <col min="2" max="2" width="8.625" style="24" customWidth="1"/>
    <col min="3" max="3" width="4.625" style="24" customWidth="1"/>
    <col min="4" max="4" width="12.625" style="24" customWidth="1"/>
    <col min="5" max="5" width="2.125" style="24" customWidth="1"/>
    <col min="6" max="6" width="13.625" style="24" customWidth="1"/>
    <col min="7" max="7" width="12.625" style="68" customWidth="1"/>
    <col min="8" max="8" width="8.625" style="68" customWidth="1"/>
    <col min="9" max="9" width="10.625" style="68" customWidth="1"/>
    <col min="10" max="10" width="7.625" style="68" customWidth="1"/>
    <col min="11" max="11" width="2.125" style="24" customWidth="1"/>
    <col min="12" max="12" width="13.625" style="24" customWidth="1"/>
    <col min="13" max="13" width="12.625" style="68" customWidth="1"/>
    <col min="14" max="14" width="8.625" style="68" customWidth="1"/>
    <col min="15" max="15" width="10.625" style="68" customWidth="1"/>
    <col min="16" max="16" width="7.625" style="68" customWidth="1"/>
    <col min="17" max="16384" width="2.625" style="24"/>
  </cols>
  <sheetData>
    <row r="2" spans="2:16" ht="12" customHeight="1" x14ac:dyDescent="0.15">
      <c r="B2" s="17" t="s">
        <v>542</v>
      </c>
      <c r="C2" s="1"/>
      <c r="D2" s="1"/>
      <c r="E2" s="1"/>
      <c r="F2" s="254" t="s">
        <v>27</v>
      </c>
      <c r="G2" s="70">
        <v>2309</v>
      </c>
      <c r="K2" s="1"/>
      <c r="L2" s="254" t="s">
        <v>27</v>
      </c>
      <c r="M2" s="70">
        <v>2309</v>
      </c>
    </row>
    <row r="3" spans="2:16" ht="12" customHeight="1" x14ac:dyDescent="0.15">
      <c r="B3" s="16"/>
      <c r="C3" s="1"/>
      <c r="D3" s="1"/>
      <c r="E3" s="1"/>
      <c r="F3" s="254" t="s">
        <v>198</v>
      </c>
      <c r="G3" s="70">
        <v>397</v>
      </c>
      <c r="K3" s="1"/>
      <c r="L3" s="254" t="s">
        <v>198</v>
      </c>
      <c r="M3" s="70">
        <v>397</v>
      </c>
    </row>
    <row r="4" spans="2:16" ht="12" customHeight="1" x14ac:dyDescent="0.15">
      <c r="B4" s="16"/>
      <c r="C4" s="1"/>
      <c r="D4" s="1"/>
      <c r="E4" s="1"/>
      <c r="F4" s="1" t="s">
        <v>123</v>
      </c>
      <c r="K4" s="1"/>
      <c r="L4" s="1" t="s">
        <v>123</v>
      </c>
    </row>
    <row r="5" spans="2:16" ht="12" customHeight="1" x14ac:dyDescent="0.15">
      <c r="B5" s="419"/>
      <c r="C5" s="419"/>
      <c r="D5" s="419"/>
      <c r="E5" s="16"/>
      <c r="F5" s="419" t="s">
        <v>39</v>
      </c>
      <c r="G5" s="731" t="s">
        <v>540</v>
      </c>
      <c r="H5" s="732"/>
      <c r="I5" s="732"/>
      <c r="J5" s="732"/>
      <c r="K5" s="16"/>
      <c r="L5" s="419" t="s">
        <v>39</v>
      </c>
      <c r="M5" s="731" t="s">
        <v>541</v>
      </c>
      <c r="N5" s="732"/>
      <c r="O5" s="732"/>
      <c r="P5" s="732"/>
    </row>
    <row r="6" spans="2:16" ht="12" customHeight="1" x14ac:dyDescent="0.15">
      <c r="B6" s="419"/>
      <c r="C6" s="419"/>
      <c r="D6" s="419"/>
      <c r="E6" s="16"/>
      <c r="F6" s="419"/>
      <c r="G6" s="69" t="s">
        <v>119</v>
      </c>
      <c r="H6" s="69" t="s">
        <v>128</v>
      </c>
      <c r="I6" s="69" t="s">
        <v>127</v>
      </c>
      <c r="J6" s="69" t="s">
        <v>129</v>
      </c>
      <c r="K6" s="16"/>
      <c r="L6" s="419"/>
      <c r="M6" s="69" t="s">
        <v>119</v>
      </c>
      <c r="N6" s="69" t="s">
        <v>128</v>
      </c>
      <c r="O6" s="69" t="s">
        <v>127</v>
      </c>
      <c r="P6" s="69" t="s">
        <v>129</v>
      </c>
    </row>
    <row r="7" spans="2:16" ht="12" customHeight="1" x14ac:dyDescent="0.15">
      <c r="B7" s="16" t="str">
        <f>完成工事高!B7</f>
        <v>*</v>
      </c>
      <c r="C7" s="730" t="s">
        <v>48</v>
      </c>
      <c r="D7" s="730"/>
      <c r="E7" s="37"/>
      <c r="F7" s="33">
        <f>完成工事高!J7</f>
        <v>253100</v>
      </c>
      <c r="G7" s="70">
        <f>IF(F7="","",IF(F7&gt;=100000000,$G$2,IF(AND(H7=0,I7=0,J7=0),0,TRUNC(H7*$F7/I7+J7))))</f>
        <v>819</v>
      </c>
      <c r="H7" s="70">
        <f>IF($B7="*",VLOOKUP($F7,別表第一!$A$3:$E$44,3),0)</f>
        <v>24</v>
      </c>
      <c r="I7" s="70">
        <f>IF($B7="*",VLOOKUP($F7,別表第一!$A$3:$E$44,4),0)</f>
        <v>50000</v>
      </c>
      <c r="J7" s="68">
        <f>IF($B7="*",VLOOKUP($F7,別表第一!$A$3:$E$44,5),0)</f>
        <v>698</v>
      </c>
      <c r="K7" s="37"/>
      <c r="L7" s="33">
        <f>完成工事高!K7</f>
        <v>220777</v>
      </c>
      <c r="M7" s="70">
        <f>IF(L7="","",IF(L7&gt;=100000000,$M$2,IF(AND(N7=0,O7=0,P7=0),0,TRUNC(N7*$L7/O7+P7))))</f>
        <v>801</v>
      </c>
      <c r="N7" s="70">
        <f>IF($B7="*",VLOOKUP($L7,別表第一!$A$3:$E$44,3),0)</f>
        <v>28</v>
      </c>
      <c r="O7" s="70">
        <f>IF($B7="*",VLOOKUP($L7,別表第一!$A$3:$E$44,4),0)</f>
        <v>50000</v>
      </c>
      <c r="P7" s="68">
        <f>IF($B7="*",VLOOKUP($L7,別表第一!$A$3:$E$44,5),0)</f>
        <v>678</v>
      </c>
    </row>
    <row r="8" spans="2:16" ht="12" customHeight="1" x14ac:dyDescent="0.15">
      <c r="B8" s="16" t="str">
        <f>B7</f>
        <v>*</v>
      </c>
      <c r="C8" s="730" t="s">
        <v>429</v>
      </c>
      <c r="D8" s="730"/>
      <c r="E8" s="37"/>
      <c r="F8" s="33">
        <f>完成工事高!J8</f>
        <v>0</v>
      </c>
      <c r="G8" s="70">
        <f t="shared" ref="G8:G39" si="0">IF(F8="","",IF(F8&gt;=100000000,$G$2,IF(AND(H8=0,I8=0,J8=0),0,TRUNC(H8*$F8/I8+J8))))</f>
        <v>397</v>
      </c>
      <c r="H8" s="70">
        <f>IF($B8="*",VLOOKUP($F8,別表第一!$A$3:$E$44,3),0)</f>
        <v>131</v>
      </c>
      <c r="I8" s="70">
        <f>IF($B8="*",VLOOKUP($F8,別表第一!$A$3:$E$44,4),0)</f>
        <v>10000</v>
      </c>
      <c r="J8" s="68">
        <f>IF($B8="*",VLOOKUP($F8,別表第一!$A$3:$E$44,5),0)</f>
        <v>397</v>
      </c>
      <c r="K8" s="37"/>
      <c r="L8" s="33">
        <f>完成工事高!K8</f>
        <v>0</v>
      </c>
      <c r="M8" s="70">
        <f t="shared" ref="M8:M39" si="1">IF(L8="","",IF(L8&gt;=100000000,$M$2,IF(AND(N8=0,O8=0,P8=0),0,TRUNC(N8*$L8/O8+P8))))</f>
        <v>397</v>
      </c>
      <c r="N8" s="70">
        <f>IF($B8="*",VLOOKUP($L8,別表第一!$A$3:$E$44,3),0)</f>
        <v>131</v>
      </c>
      <c r="O8" s="70">
        <f>IF($B8="*",VLOOKUP($L8,別表第一!$A$3:$E$44,4),0)</f>
        <v>10000</v>
      </c>
      <c r="P8" s="68">
        <f>IF($B8="*",VLOOKUP($L8,別表第一!$A$3:$E$44,5),0)</f>
        <v>397</v>
      </c>
    </row>
    <row r="9" spans="2:16" ht="12" customHeight="1" x14ac:dyDescent="0.15">
      <c r="B9" s="16" t="str">
        <f>完成工事高!B9</f>
        <v>*</v>
      </c>
      <c r="C9" s="730" t="s">
        <v>53</v>
      </c>
      <c r="D9" s="730"/>
      <c r="E9" s="37"/>
      <c r="F9" s="33">
        <f>完成工事高!J9</f>
        <v>0</v>
      </c>
      <c r="G9" s="70">
        <f t="shared" si="0"/>
        <v>397</v>
      </c>
      <c r="H9" s="70">
        <f>IF($B9="*",VLOOKUP($F9,別表第一!$A$3:$E$44,3),0)</f>
        <v>131</v>
      </c>
      <c r="I9" s="70">
        <f>IF($B9="*",VLOOKUP($F9,別表第一!$A$3:$E$44,4),0)</f>
        <v>10000</v>
      </c>
      <c r="J9" s="68">
        <f>IF($B9="*",VLOOKUP($F9,別表第一!$A$3:$E$44,5),0)</f>
        <v>397</v>
      </c>
      <c r="K9" s="37"/>
      <c r="L9" s="33">
        <f>完成工事高!K9</f>
        <v>0</v>
      </c>
      <c r="M9" s="70">
        <f t="shared" si="1"/>
        <v>397</v>
      </c>
      <c r="N9" s="70">
        <f>IF($B9="*",VLOOKUP($L9,別表第一!$A$3:$E$44,3),0)</f>
        <v>131</v>
      </c>
      <c r="O9" s="70">
        <f>IF($B9="*",VLOOKUP($L9,別表第一!$A$3:$E$44,4),0)</f>
        <v>10000</v>
      </c>
      <c r="P9" s="68">
        <f>IF($B9="*",VLOOKUP($L9,別表第一!$A$3:$E$44,5),0)</f>
        <v>397</v>
      </c>
    </row>
    <row r="10" spans="2:16" ht="12" customHeight="1" x14ac:dyDescent="0.15">
      <c r="B10" s="16" t="str">
        <f>完成工事高!B10</f>
        <v/>
      </c>
      <c r="C10" s="730" t="s">
        <v>54</v>
      </c>
      <c r="D10" s="730"/>
      <c r="E10" s="37"/>
      <c r="F10" s="33" t="str">
        <f>完成工事高!J10</f>
        <v/>
      </c>
      <c r="G10" s="70" t="str">
        <f t="shared" si="0"/>
        <v/>
      </c>
      <c r="H10" s="70">
        <f>IF($B10="*",VLOOKUP($F10,別表第一!$A$3:$E$44,3),0)</f>
        <v>0</v>
      </c>
      <c r="I10" s="70">
        <f>IF($B10="*",VLOOKUP($F10,別表第一!$A$3:$E$44,4),0)</f>
        <v>0</v>
      </c>
      <c r="J10" s="68">
        <f>IF($B10="*",VLOOKUP($F10,別表第一!$A$3:$E$44,5),0)</f>
        <v>0</v>
      </c>
      <c r="K10" s="37"/>
      <c r="L10" s="33" t="str">
        <f>完成工事高!K10</f>
        <v/>
      </c>
      <c r="M10" s="70" t="str">
        <f t="shared" si="1"/>
        <v/>
      </c>
      <c r="N10" s="70">
        <f>IF($B10="*",VLOOKUP($L10,別表第一!$A$3:$E$44,3),0)</f>
        <v>0</v>
      </c>
      <c r="O10" s="70">
        <f>IF($B10="*",VLOOKUP($L10,別表第一!$A$3:$E$44,4),0)</f>
        <v>0</v>
      </c>
      <c r="P10" s="68">
        <f>IF($B10="*",VLOOKUP($L10,別表第一!$A$3:$E$44,5),0)</f>
        <v>0</v>
      </c>
    </row>
    <row r="11" spans="2:16" ht="12" customHeight="1" x14ac:dyDescent="0.15">
      <c r="B11" s="16" t="str">
        <f>完成工事高!B11</f>
        <v/>
      </c>
      <c r="C11" s="730" t="s">
        <v>56</v>
      </c>
      <c r="D11" s="730"/>
      <c r="E11" s="37"/>
      <c r="F11" s="33" t="str">
        <f>完成工事高!J11</f>
        <v/>
      </c>
      <c r="G11" s="70" t="str">
        <f t="shared" si="0"/>
        <v/>
      </c>
      <c r="H11" s="70">
        <f>IF($B11="*",VLOOKUP($F11,別表第一!$A$3:$E$44,3),0)</f>
        <v>0</v>
      </c>
      <c r="I11" s="70">
        <f>IF($B11="*",VLOOKUP($F11,別表第一!$A$3:$E$44,4),0)</f>
        <v>0</v>
      </c>
      <c r="J11" s="68">
        <f>IF($B11="*",VLOOKUP($F11,別表第一!$A$3:$E$44,5),0)</f>
        <v>0</v>
      </c>
      <c r="K11" s="37"/>
      <c r="L11" s="33" t="str">
        <f>完成工事高!K11</f>
        <v/>
      </c>
      <c r="M11" s="70" t="str">
        <f t="shared" si="1"/>
        <v/>
      </c>
      <c r="N11" s="70">
        <f>IF($B11="*",VLOOKUP($L11,別表第一!$A$3:$E$44,3),0)</f>
        <v>0</v>
      </c>
      <c r="O11" s="70">
        <f>IF($B11="*",VLOOKUP($L11,別表第一!$A$3:$E$44,4),0)</f>
        <v>0</v>
      </c>
      <c r="P11" s="68">
        <f>IF($B11="*",VLOOKUP($L11,別表第一!$A$3:$E$44,5),0)</f>
        <v>0</v>
      </c>
    </row>
    <row r="12" spans="2:16" ht="12" customHeight="1" x14ac:dyDescent="0.15">
      <c r="B12" s="16" t="str">
        <f>完成工事高!B12</f>
        <v>*</v>
      </c>
      <c r="C12" s="733" t="s">
        <v>58</v>
      </c>
      <c r="D12" s="733"/>
      <c r="E12" s="253"/>
      <c r="F12" s="33">
        <f>完成工事高!J12</f>
        <v>310</v>
      </c>
      <c r="G12" s="70">
        <f t="shared" si="0"/>
        <v>401</v>
      </c>
      <c r="H12" s="70">
        <f>IF($B12="*",VLOOKUP($F12,別表第一!$A$3:$E$44,3),0)</f>
        <v>131</v>
      </c>
      <c r="I12" s="70">
        <f>IF($B12="*",VLOOKUP($F12,別表第一!$A$3:$E$44,4),0)</f>
        <v>10000</v>
      </c>
      <c r="J12" s="68">
        <f>IF($B12="*",VLOOKUP($F12,別表第一!$A$3:$E$44,5),0)</f>
        <v>397</v>
      </c>
      <c r="K12" s="253"/>
      <c r="L12" s="33">
        <f>完成工事高!K12</f>
        <v>240</v>
      </c>
      <c r="M12" s="70">
        <f t="shared" si="1"/>
        <v>400</v>
      </c>
      <c r="N12" s="70">
        <f>IF($B12="*",VLOOKUP($L12,別表第一!$A$3:$E$44,3),0)</f>
        <v>131</v>
      </c>
      <c r="O12" s="70">
        <f>IF($B12="*",VLOOKUP($L12,別表第一!$A$3:$E$44,4),0)</f>
        <v>10000</v>
      </c>
      <c r="P12" s="68">
        <f>IF($B12="*",VLOOKUP($L12,別表第一!$A$3:$E$44,5),0)</f>
        <v>397</v>
      </c>
    </row>
    <row r="13" spans="2:16" ht="12" customHeight="1" x14ac:dyDescent="0.15">
      <c r="B13" s="16" t="str">
        <f>B12</f>
        <v>*</v>
      </c>
      <c r="C13" s="730" t="s">
        <v>59</v>
      </c>
      <c r="D13" s="730"/>
      <c r="E13" s="37"/>
      <c r="F13" s="33">
        <f>完成工事高!J13</f>
        <v>0</v>
      </c>
      <c r="G13" s="70">
        <f t="shared" si="0"/>
        <v>397</v>
      </c>
      <c r="H13" s="70">
        <f>IF($B13="*",VLOOKUP($F13,別表第一!$A$3:$E$44,3),0)</f>
        <v>131</v>
      </c>
      <c r="I13" s="70">
        <f>IF($B13="*",VLOOKUP($F13,別表第一!$A$3:$E$44,4),0)</f>
        <v>10000</v>
      </c>
      <c r="J13" s="68">
        <f>IF($B13="*",VLOOKUP($F13,別表第一!$A$3:$E$44,5),0)</f>
        <v>397</v>
      </c>
      <c r="K13" s="37"/>
      <c r="L13" s="33">
        <f>完成工事高!K13</f>
        <v>0</v>
      </c>
      <c r="M13" s="70">
        <f t="shared" si="1"/>
        <v>397</v>
      </c>
      <c r="N13" s="70">
        <f>IF($B13="*",VLOOKUP($L13,別表第一!$A$3:$E$44,3),0)</f>
        <v>131</v>
      </c>
      <c r="O13" s="70">
        <f>IF($B13="*",VLOOKUP($L13,別表第一!$A$3:$E$44,4),0)</f>
        <v>10000</v>
      </c>
      <c r="P13" s="68">
        <f>IF($B13="*",VLOOKUP($L13,別表第一!$A$3:$E$44,5),0)</f>
        <v>397</v>
      </c>
    </row>
    <row r="14" spans="2:16" ht="12" customHeight="1" x14ac:dyDescent="0.15">
      <c r="B14" s="16" t="str">
        <f>完成工事高!B14</f>
        <v/>
      </c>
      <c r="C14" s="730" t="s">
        <v>61</v>
      </c>
      <c r="D14" s="730"/>
      <c r="E14" s="37"/>
      <c r="F14" s="33" t="str">
        <f>完成工事高!J14</f>
        <v/>
      </c>
      <c r="G14" s="70" t="str">
        <f t="shared" si="0"/>
        <v/>
      </c>
      <c r="H14" s="70">
        <f>IF($B14="*",VLOOKUP($F14,別表第一!$A$3:$E$44,3),0)</f>
        <v>0</v>
      </c>
      <c r="I14" s="70">
        <f>IF($B14="*",VLOOKUP($F14,別表第一!$A$3:$E$44,4),0)</f>
        <v>0</v>
      </c>
      <c r="J14" s="68">
        <f>IF($B14="*",VLOOKUP($F14,別表第一!$A$3:$E$44,5),0)</f>
        <v>0</v>
      </c>
      <c r="K14" s="37"/>
      <c r="L14" s="33" t="str">
        <f>完成工事高!K14</f>
        <v/>
      </c>
      <c r="M14" s="70" t="str">
        <f t="shared" si="1"/>
        <v/>
      </c>
      <c r="N14" s="70">
        <f>IF($B14="*",VLOOKUP($L14,別表第一!$A$3:$E$44,3),0)</f>
        <v>0</v>
      </c>
      <c r="O14" s="70">
        <f>IF($B14="*",VLOOKUP($L14,別表第一!$A$3:$E$44,4),0)</f>
        <v>0</v>
      </c>
      <c r="P14" s="68">
        <f>IF($B14="*",VLOOKUP($L14,別表第一!$A$3:$E$44,5),0)</f>
        <v>0</v>
      </c>
    </row>
    <row r="15" spans="2:16" ht="12" customHeight="1" x14ac:dyDescent="0.15">
      <c r="B15" s="16" t="str">
        <f>完成工事高!B15</f>
        <v/>
      </c>
      <c r="C15" s="730" t="s">
        <v>62</v>
      </c>
      <c r="D15" s="730"/>
      <c r="E15" s="37"/>
      <c r="F15" s="33" t="str">
        <f>完成工事高!J15</f>
        <v/>
      </c>
      <c r="G15" s="70" t="str">
        <f t="shared" si="0"/>
        <v/>
      </c>
      <c r="H15" s="70">
        <f>IF($B15="*",VLOOKUP($F15,別表第一!$A$3:$E$44,3),0)</f>
        <v>0</v>
      </c>
      <c r="I15" s="70">
        <f>IF($B15="*",VLOOKUP($F15,別表第一!$A$3:$E$44,4),0)</f>
        <v>0</v>
      </c>
      <c r="J15" s="68">
        <f>IF($B15="*",VLOOKUP($F15,別表第一!$A$3:$E$44,5),0)</f>
        <v>0</v>
      </c>
      <c r="K15" s="37"/>
      <c r="L15" s="33" t="str">
        <f>完成工事高!K15</f>
        <v/>
      </c>
      <c r="M15" s="70" t="str">
        <f t="shared" si="1"/>
        <v/>
      </c>
      <c r="N15" s="70">
        <f>IF($B15="*",VLOOKUP($L15,別表第一!$A$3:$E$44,3),0)</f>
        <v>0</v>
      </c>
      <c r="O15" s="70">
        <f>IF($B15="*",VLOOKUP($L15,別表第一!$A$3:$E$44,4),0)</f>
        <v>0</v>
      </c>
      <c r="P15" s="68">
        <f>IF($B15="*",VLOOKUP($L15,別表第一!$A$3:$E$44,5),0)</f>
        <v>0</v>
      </c>
    </row>
    <row r="16" spans="2:16" ht="12" customHeight="1" x14ac:dyDescent="0.15">
      <c r="B16" s="16" t="str">
        <f>完成工事高!B16</f>
        <v/>
      </c>
      <c r="C16" s="730" t="s">
        <v>64</v>
      </c>
      <c r="D16" s="730"/>
      <c r="E16" s="37"/>
      <c r="F16" s="33" t="str">
        <f>完成工事高!J16</f>
        <v/>
      </c>
      <c r="G16" s="70" t="str">
        <f t="shared" si="0"/>
        <v/>
      </c>
      <c r="H16" s="70">
        <f>IF($B16="*",VLOOKUP($F16,別表第一!$A$3:$E$44,3),0)</f>
        <v>0</v>
      </c>
      <c r="I16" s="70">
        <f>IF($B16="*",VLOOKUP($F16,別表第一!$A$3:$E$44,4),0)</f>
        <v>0</v>
      </c>
      <c r="J16" s="68">
        <f>IF($B16="*",VLOOKUP($F16,別表第一!$A$3:$E$44,5),0)</f>
        <v>0</v>
      </c>
      <c r="K16" s="37"/>
      <c r="L16" s="33" t="str">
        <f>完成工事高!K16</f>
        <v/>
      </c>
      <c r="M16" s="70" t="str">
        <f t="shared" si="1"/>
        <v/>
      </c>
      <c r="N16" s="70">
        <f>IF($B16="*",VLOOKUP($L16,別表第一!$A$3:$E$44,3),0)</f>
        <v>0</v>
      </c>
      <c r="O16" s="70">
        <f>IF($B16="*",VLOOKUP($L16,別表第一!$A$3:$E$44,4),0)</f>
        <v>0</v>
      </c>
      <c r="P16" s="68">
        <f>IF($B16="*",VLOOKUP($L16,別表第一!$A$3:$E$44,5),0)</f>
        <v>0</v>
      </c>
    </row>
    <row r="17" spans="1:16" s="71" customFormat="1" ht="12" customHeight="1" x14ac:dyDescent="0.15">
      <c r="B17" s="16" t="str">
        <f>完成工事高!B17</f>
        <v/>
      </c>
      <c r="C17" s="730" t="s">
        <v>65</v>
      </c>
      <c r="D17" s="730"/>
      <c r="E17" s="37"/>
      <c r="F17" s="33" t="str">
        <f>完成工事高!J17</f>
        <v/>
      </c>
      <c r="G17" s="70" t="str">
        <f t="shared" si="0"/>
        <v/>
      </c>
      <c r="H17" s="70">
        <f>IF($B17="*",VLOOKUP($F17,別表第一!$A$3:$E$44,3),0)</f>
        <v>0</v>
      </c>
      <c r="I17" s="70">
        <f>IF($B17="*",VLOOKUP($F17,別表第一!$A$3:$E$44,4),0)</f>
        <v>0</v>
      </c>
      <c r="J17" s="68">
        <f>IF($B17="*",VLOOKUP($F17,別表第一!$A$3:$E$44,5),0)</f>
        <v>0</v>
      </c>
      <c r="K17" s="37"/>
      <c r="L17" s="33" t="str">
        <f>完成工事高!K17</f>
        <v/>
      </c>
      <c r="M17" s="70" t="str">
        <f t="shared" si="1"/>
        <v/>
      </c>
      <c r="N17" s="70">
        <f>IF($B17="*",VLOOKUP($L17,別表第一!$A$3:$E$44,3),0)</f>
        <v>0</v>
      </c>
      <c r="O17" s="70">
        <f>IF($B17="*",VLOOKUP($L17,別表第一!$A$3:$E$44,4),0)</f>
        <v>0</v>
      </c>
      <c r="P17" s="68">
        <f>IF($B17="*",VLOOKUP($L17,別表第一!$A$3:$E$44,5),0)</f>
        <v>0</v>
      </c>
    </row>
    <row r="18" spans="1:16" ht="12" customHeight="1" x14ac:dyDescent="0.15">
      <c r="A18" s="72"/>
      <c r="B18" s="16" t="str">
        <f>完成工事高!B18</f>
        <v/>
      </c>
      <c r="C18" s="733" t="s">
        <v>430</v>
      </c>
      <c r="D18" s="733"/>
      <c r="E18" s="253"/>
      <c r="F18" s="33" t="str">
        <f>完成工事高!J18</f>
        <v/>
      </c>
      <c r="G18" s="70" t="str">
        <f t="shared" si="0"/>
        <v/>
      </c>
      <c r="H18" s="70">
        <f>IF($B18="*",VLOOKUP($F18,別表第一!$A$3:$E$44,3),0)</f>
        <v>0</v>
      </c>
      <c r="I18" s="70">
        <f>IF($B18="*",VLOOKUP($F18,別表第一!$A$3:$E$44,4),0)</f>
        <v>0</v>
      </c>
      <c r="J18" s="68">
        <f>IF($B18="*",VLOOKUP($F18,別表第一!$A$3:$E$44,5),0)</f>
        <v>0</v>
      </c>
      <c r="K18" s="253"/>
      <c r="L18" s="33" t="str">
        <f>完成工事高!K18</f>
        <v/>
      </c>
      <c r="M18" s="70" t="str">
        <f t="shared" si="1"/>
        <v/>
      </c>
      <c r="N18" s="70">
        <f>IF($B18="*",VLOOKUP($L18,別表第一!$A$3:$E$44,3),0)</f>
        <v>0</v>
      </c>
      <c r="O18" s="70">
        <f>IF($B18="*",VLOOKUP($L18,別表第一!$A$3:$E$44,4),0)</f>
        <v>0</v>
      </c>
      <c r="P18" s="68">
        <f>IF($B18="*",VLOOKUP($L18,別表第一!$A$3:$E$44,5),0)</f>
        <v>0</v>
      </c>
    </row>
    <row r="19" spans="1:16" ht="12" customHeight="1" x14ac:dyDescent="0.15">
      <c r="A19" s="72"/>
      <c r="B19" s="16" t="str">
        <f>完成工事高!B19</f>
        <v/>
      </c>
      <c r="C19" s="730" t="s">
        <v>67</v>
      </c>
      <c r="D19" s="730"/>
      <c r="E19" s="37"/>
      <c r="F19" s="33" t="str">
        <f>完成工事高!J19</f>
        <v/>
      </c>
      <c r="G19" s="70" t="str">
        <f t="shared" si="0"/>
        <v/>
      </c>
      <c r="H19" s="70">
        <f>IF($B19="*",VLOOKUP($F19,別表第一!$A$3:$E$44,3),0)</f>
        <v>0</v>
      </c>
      <c r="I19" s="70">
        <f>IF($B19="*",VLOOKUP($F19,別表第一!$A$3:$E$44,4),0)</f>
        <v>0</v>
      </c>
      <c r="J19" s="68">
        <f>IF($B19="*",VLOOKUP($F19,別表第一!$A$3:$E$44,5),0)</f>
        <v>0</v>
      </c>
      <c r="K19" s="37"/>
      <c r="L19" s="33" t="str">
        <f>完成工事高!K19</f>
        <v/>
      </c>
      <c r="M19" s="70" t="str">
        <f t="shared" si="1"/>
        <v/>
      </c>
      <c r="N19" s="70">
        <f>IF($B19="*",VLOOKUP($L19,別表第一!$A$3:$E$44,3),0)</f>
        <v>0</v>
      </c>
      <c r="O19" s="70">
        <f>IF($B19="*",VLOOKUP($L19,別表第一!$A$3:$E$44,4),0)</f>
        <v>0</v>
      </c>
      <c r="P19" s="68">
        <f>IF($B19="*",VLOOKUP($L19,別表第一!$A$3:$E$44,5),0)</f>
        <v>0</v>
      </c>
    </row>
    <row r="20" spans="1:16" ht="12" customHeight="1" x14ac:dyDescent="0.15">
      <c r="B20" s="16" t="str">
        <f>B19</f>
        <v/>
      </c>
      <c r="C20" s="730" t="s">
        <v>70</v>
      </c>
      <c r="D20" s="730"/>
      <c r="E20" s="37"/>
      <c r="F20" s="33" t="str">
        <f>完成工事高!J20</f>
        <v/>
      </c>
      <c r="G20" s="70" t="str">
        <f t="shared" si="0"/>
        <v/>
      </c>
      <c r="H20" s="70">
        <f>IF($B20="*",VLOOKUP($F20,別表第一!$A$3:$E$44,3),0)</f>
        <v>0</v>
      </c>
      <c r="I20" s="70">
        <f>IF($B20="*",VLOOKUP($F20,別表第一!$A$3:$E$44,4),0)</f>
        <v>0</v>
      </c>
      <c r="J20" s="68">
        <f>IF($B20="*",VLOOKUP($F20,別表第一!$A$3:$E$44,5),0)</f>
        <v>0</v>
      </c>
      <c r="K20" s="37"/>
      <c r="L20" s="33" t="str">
        <f>完成工事高!K20</f>
        <v/>
      </c>
      <c r="M20" s="70" t="str">
        <f t="shared" si="1"/>
        <v/>
      </c>
      <c r="N20" s="70">
        <f>IF($B20="*",VLOOKUP($L20,別表第一!$A$3:$E$44,3),0)</f>
        <v>0</v>
      </c>
      <c r="O20" s="70">
        <f>IF($B20="*",VLOOKUP($L20,別表第一!$A$3:$E$44,4),0)</f>
        <v>0</v>
      </c>
      <c r="P20" s="68">
        <f>IF($B20="*",VLOOKUP($L20,別表第一!$A$3:$E$44,5),0)</f>
        <v>0</v>
      </c>
    </row>
    <row r="21" spans="1:16" ht="12" customHeight="1" x14ac:dyDescent="0.15">
      <c r="B21" s="16" t="str">
        <f>完成工事高!B21</f>
        <v/>
      </c>
      <c r="C21" s="730" t="s">
        <v>71</v>
      </c>
      <c r="D21" s="730"/>
      <c r="E21" s="37"/>
      <c r="F21" s="33" t="str">
        <f>完成工事高!J21</f>
        <v/>
      </c>
      <c r="G21" s="70" t="str">
        <f t="shared" si="0"/>
        <v/>
      </c>
      <c r="H21" s="70">
        <f>IF($B21="*",VLOOKUP($F21,別表第一!$A$3:$E$44,3),0)</f>
        <v>0</v>
      </c>
      <c r="I21" s="70">
        <f>IF($B21="*",VLOOKUP($F21,別表第一!$A$3:$E$44,4),0)</f>
        <v>0</v>
      </c>
      <c r="J21" s="68">
        <f>IF($B21="*",VLOOKUP($F21,別表第一!$A$3:$E$44,5),0)</f>
        <v>0</v>
      </c>
      <c r="K21" s="37"/>
      <c r="L21" s="33" t="str">
        <f>完成工事高!K21</f>
        <v/>
      </c>
      <c r="M21" s="70" t="str">
        <f t="shared" si="1"/>
        <v/>
      </c>
      <c r="N21" s="70">
        <f>IF($B21="*",VLOOKUP($L21,別表第一!$A$3:$E$44,3),0)</f>
        <v>0</v>
      </c>
      <c r="O21" s="70">
        <f>IF($B21="*",VLOOKUP($L21,別表第一!$A$3:$E$44,4),0)</f>
        <v>0</v>
      </c>
      <c r="P21" s="68">
        <f>IF($B21="*",VLOOKUP($L21,別表第一!$A$3:$E$44,5),0)</f>
        <v>0</v>
      </c>
    </row>
    <row r="22" spans="1:16" ht="12" customHeight="1" x14ac:dyDescent="0.15">
      <c r="B22" s="16" t="str">
        <f>完成工事高!B22</f>
        <v/>
      </c>
      <c r="C22" s="730" t="s">
        <v>549</v>
      </c>
      <c r="D22" s="730"/>
      <c r="E22" s="37"/>
      <c r="F22" s="33" t="str">
        <f>完成工事高!J22</f>
        <v/>
      </c>
      <c r="G22" s="70" t="str">
        <f t="shared" si="0"/>
        <v/>
      </c>
      <c r="H22" s="70">
        <f>IF($B22="*",VLOOKUP($F22,別表第一!$A$3:$E$44,3),0)</f>
        <v>0</v>
      </c>
      <c r="I22" s="70">
        <f>IF($B22="*",VLOOKUP($F22,別表第一!$A$3:$E$44,4),0)</f>
        <v>0</v>
      </c>
      <c r="J22" s="68">
        <f>IF($B22="*",VLOOKUP($F22,別表第一!$A$3:$E$44,5),0)</f>
        <v>0</v>
      </c>
      <c r="K22" s="37"/>
      <c r="L22" s="33" t="str">
        <f>完成工事高!K22</f>
        <v/>
      </c>
      <c r="M22" s="70" t="str">
        <f t="shared" si="1"/>
        <v/>
      </c>
      <c r="N22" s="70">
        <f>IF($B22="*",VLOOKUP($L22,別表第一!$A$3:$E$44,3),0)</f>
        <v>0</v>
      </c>
      <c r="O22" s="70">
        <f>IF($B22="*",VLOOKUP($L22,別表第一!$A$3:$E$44,4),0)</f>
        <v>0</v>
      </c>
      <c r="P22" s="68">
        <f>IF($B22="*",VLOOKUP($L22,別表第一!$A$3:$E$44,5),0)</f>
        <v>0</v>
      </c>
    </row>
    <row r="23" spans="1:16" ht="12" customHeight="1" x14ac:dyDescent="0.15">
      <c r="A23" s="728"/>
      <c r="B23" s="16" t="str">
        <f>完成工事高!B23</f>
        <v/>
      </c>
      <c r="C23" s="730" t="s">
        <v>431</v>
      </c>
      <c r="D23" s="730"/>
      <c r="E23" s="37"/>
      <c r="F23" s="33" t="str">
        <f>完成工事高!J23</f>
        <v/>
      </c>
      <c r="G23" s="70" t="str">
        <f t="shared" si="0"/>
        <v/>
      </c>
      <c r="H23" s="70">
        <f>IF($B23="*",VLOOKUP($F23,別表第一!$A$3:$E$44,3),0)</f>
        <v>0</v>
      </c>
      <c r="I23" s="70">
        <f>IF($B23="*",VLOOKUP($F23,別表第一!$A$3:$E$44,4),0)</f>
        <v>0</v>
      </c>
      <c r="J23" s="68">
        <f>IF($B23="*",VLOOKUP($F23,別表第一!$A$3:$E$44,5),0)</f>
        <v>0</v>
      </c>
      <c r="K23" s="37"/>
      <c r="L23" s="33" t="str">
        <f>完成工事高!K23</f>
        <v/>
      </c>
      <c r="M23" s="70" t="str">
        <f t="shared" si="1"/>
        <v/>
      </c>
      <c r="N23" s="70">
        <f>IF($B23="*",VLOOKUP($L23,別表第一!$A$3:$E$44,3),0)</f>
        <v>0</v>
      </c>
      <c r="O23" s="70">
        <f>IF($B23="*",VLOOKUP($L23,別表第一!$A$3:$E$44,4),0)</f>
        <v>0</v>
      </c>
      <c r="P23" s="68">
        <f>IF($B23="*",VLOOKUP($L23,別表第一!$A$3:$E$44,5),0)</f>
        <v>0</v>
      </c>
    </row>
    <row r="24" spans="1:16" ht="12" customHeight="1" x14ac:dyDescent="0.15">
      <c r="A24" s="728"/>
      <c r="B24" s="16" t="str">
        <f>完成工事高!B24</f>
        <v/>
      </c>
      <c r="C24" s="730" t="s">
        <v>72</v>
      </c>
      <c r="D24" s="730"/>
      <c r="E24" s="37"/>
      <c r="F24" s="33" t="str">
        <f>完成工事高!J24</f>
        <v/>
      </c>
      <c r="G24" s="70" t="str">
        <f t="shared" si="0"/>
        <v/>
      </c>
      <c r="H24" s="70">
        <f>IF($B24="*",VLOOKUP($F24,別表第一!$A$3:$E$44,3),0)</f>
        <v>0</v>
      </c>
      <c r="I24" s="70">
        <f>IF($B24="*",VLOOKUP($F24,別表第一!$A$3:$E$44,4),0)</f>
        <v>0</v>
      </c>
      <c r="J24" s="68">
        <f>IF($B24="*",VLOOKUP($F24,別表第一!$A$3:$E$44,5),0)</f>
        <v>0</v>
      </c>
      <c r="K24" s="37"/>
      <c r="L24" s="33" t="str">
        <f>完成工事高!K24</f>
        <v/>
      </c>
      <c r="M24" s="70" t="str">
        <f t="shared" si="1"/>
        <v/>
      </c>
      <c r="N24" s="70">
        <f>IF($B24="*",VLOOKUP($L24,別表第一!$A$3:$E$44,3),0)</f>
        <v>0</v>
      </c>
      <c r="O24" s="70">
        <f>IF($B24="*",VLOOKUP($L24,別表第一!$A$3:$E$44,4),0)</f>
        <v>0</v>
      </c>
      <c r="P24" s="68">
        <f>IF($B24="*",VLOOKUP($L24,別表第一!$A$3:$E$44,5),0)</f>
        <v>0</v>
      </c>
    </row>
    <row r="25" spans="1:16" ht="12" customHeight="1" x14ac:dyDescent="0.15">
      <c r="A25" s="729"/>
      <c r="B25" s="16" t="str">
        <f>完成工事高!B25</f>
        <v/>
      </c>
      <c r="C25" s="730" t="s">
        <v>435</v>
      </c>
      <c r="D25" s="730"/>
      <c r="E25" s="37"/>
      <c r="F25" s="33" t="str">
        <f>完成工事高!J25</f>
        <v/>
      </c>
      <c r="G25" s="70" t="str">
        <f t="shared" si="0"/>
        <v/>
      </c>
      <c r="H25" s="70">
        <f>IF($B25="*",VLOOKUP($F25,別表第一!$A$3:$E$44,3),0)</f>
        <v>0</v>
      </c>
      <c r="I25" s="70">
        <f>IF($B25="*",VLOOKUP($F25,別表第一!$A$3:$E$44,4),0)</f>
        <v>0</v>
      </c>
      <c r="J25" s="68">
        <f>IF($B25="*",VLOOKUP($F25,別表第一!$A$3:$E$44,5),0)</f>
        <v>0</v>
      </c>
      <c r="K25" s="37"/>
      <c r="L25" s="33" t="str">
        <f>完成工事高!K25</f>
        <v/>
      </c>
      <c r="M25" s="70" t="str">
        <f t="shared" si="1"/>
        <v/>
      </c>
      <c r="N25" s="70">
        <f>IF($B25="*",VLOOKUP($L25,別表第一!$A$3:$E$44,3),0)</f>
        <v>0</v>
      </c>
      <c r="O25" s="70">
        <f>IF($B25="*",VLOOKUP($L25,別表第一!$A$3:$E$44,4),0)</f>
        <v>0</v>
      </c>
      <c r="P25" s="68">
        <f>IF($B25="*",VLOOKUP($L25,別表第一!$A$3:$E$44,5),0)</f>
        <v>0</v>
      </c>
    </row>
    <row r="26" spans="1:16" ht="12" customHeight="1" x14ac:dyDescent="0.15">
      <c r="B26" s="16" t="str">
        <f>完成工事高!B26</f>
        <v/>
      </c>
      <c r="C26" s="730" t="s">
        <v>73</v>
      </c>
      <c r="D26" s="730"/>
      <c r="E26" s="37"/>
      <c r="F26" s="33" t="str">
        <f>完成工事高!J26</f>
        <v/>
      </c>
      <c r="G26" s="70" t="str">
        <f t="shared" si="0"/>
        <v/>
      </c>
      <c r="H26" s="70">
        <f>IF($B26="*",VLOOKUP($F26,別表第一!$A$3:$E$44,3),0)</f>
        <v>0</v>
      </c>
      <c r="I26" s="70">
        <f>IF($B26="*",VLOOKUP($F26,別表第一!$A$3:$E$44,4),0)</f>
        <v>0</v>
      </c>
      <c r="J26" s="68">
        <f>IF($B26="*",VLOOKUP($F26,別表第一!$A$3:$E$44,5),0)</f>
        <v>0</v>
      </c>
      <c r="K26" s="37"/>
      <c r="L26" s="33" t="str">
        <f>完成工事高!K26</f>
        <v/>
      </c>
      <c r="M26" s="70" t="str">
        <f t="shared" si="1"/>
        <v/>
      </c>
      <c r="N26" s="70">
        <f>IF($B26="*",VLOOKUP($L26,別表第一!$A$3:$E$44,3),0)</f>
        <v>0</v>
      </c>
      <c r="O26" s="70">
        <f>IF($B26="*",VLOOKUP($L26,別表第一!$A$3:$E$44,4),0)</f>
        <v>0</v>
      </c>
      <c r="P26" s="68">
        <f>IF($B26="*",VLOOKUP($L26,別表第一!$A$3:$E$44,5),0)</f>
        <v>0</v>
      </c>
    </row>
    <row r="27" spans="1:16" ht="12" customHeight="1" x14ac:dyDescent="0.15">
      <c r="B27" s="16" t="str">
        <f>完成工事高!B27</f>
        <v/>
      </c>
      <c r="C27" s="730" t="s">
        <v>76</v>
      </c>
      <c r="D27" s="730"/>
      <c r="E27" s="37"/>
      <c r="F27" s="33" t="str">
        <f>完成工事高!J27</f>
        <v/>
      </c>
      <c r="G27" s="70" t="str">
        <f t="shared" si="0"/>
        <v/>
      </c>
      <c r="H27" s="70">
        <f>IF($B27="*",VLOOKUP($F27,別表第一!$A$3:$E$44,3),0)</f>
        <v>0</v>
      </c>
      <c r="I27" s="70">
        <f>IF($B27="*",VLOOKUP($F27,別表第一!$A$3:$E$44,4),0)</f>
        <v>0</v>
      </c>
      <c r="J27" s="68">
        <f>IF($B27="*",VLOOKUP($F27,別表第一!$A$3:$E$44,5),0)</f>
        <v>0</v>
      </c>
      <c r="K27" s="37"/>
      <c r="L27" s="33" t="str">
        <f>完成工事高!K27</f>
        <v/>
      </c>
      <c r="M27" s="70" t="str">
        <f t="shared" si="1"/>
        <v/>
      </c>
      <c r="N27" s="70">
        <f>IF($B27="*",VLOOKUP($L27,別表第一!$A$3:$E$44,3),0)</f>
        <v>0</v>
      </c>
      <c r="O27" s="70">
        <f>IF($B27="*",VLOOKUP($L27,別表第一!$A$3:$E$44,4),0)</f>
        <v>0</v>
      </c>
      <c r="P27" s="68">
        <f>IF($B27="*",VLOOKUP($L27,別表第一!$A$3:$E$44,5),0)</f>
        <v>0</v>
      </c>
    </row>
    <row r="28" spans="1:16" ht="12" customHeight="1" x14ac:dyDescent="0.15">
      <c r="B28" s="16" t="str">
        <f>完成工事高!B28</f>
        <v/>
      </c>
      <c r="C28" s="730" t="s">
        <v>77</v>
      </c>
      <c r="D28" s="730"/>
      <c r="E28" s="37"/>
      <c r="F28" s="33" t="str">
        <f>完成工事高!J28</f>
        <v/>
      </c>
      <c r="G28" s="70" t="str">
        <f t="shared" si="0"/>
        <v/>
      </c>
      <c r="H28" s="70">
        <f>IF($B28="*",VLOOKUP($F28,別表第一!$A$3:$E$44,3),0)</f>
        <v>0</v>
      </c>
      <c r="I28" s="70">
        <f>IF($B28="*",VLOOKUP($F28,別表第一!$A$3:$E$44,4),0)</f>
        <v>0</v>
      </c>
      <c r="J28" s="68">
        <f>IF($B28="*",VLOOKUP($F28,別表第一!$A$3:$E$44,5),0)</f>
        <v>0</v>
      </c>
      <c r="K28" s="37"/>
      <c r="L28" s="33" t="str">
        <f>完成工事高!K28</f>
        <v/>
      </c>
      <c r="M28" s="70" t="str">
        <f t="shared" si="1"/>
        <v/>
      </c>
      <c r="N28" s="70">
        <f>IF($B28="*",VLOOKUP($L28,別表第一!$A$3:$E$44,3),0)</f>
        <v>0</v>
      </c>
      <c r="O28" s="70">
        <f>IF($B28="*",VLOOKUP($L28,別表第一!$A$3:$E$44,4),0)</f>
        <v>0</v>
      </c>
      <c r="P28" s="68">
        <f>IF($B28="*",VLOOKUP($L28,別表第一!$A$3:$E$44,5),0)</f>
        <v>0</v>
      </c>
    </row>
    <row r="29" spans="1:16" ht="12" customHeight="1" x14ac:dyDescent="0.15">
      <c r="B29" s="16" t="str">
        <f>完成工事高!B29</f>
        <v/>
      </c>
      <c r="C29" s="730" t="s">
        <v>78</v>
      </c>
      <c r="D29" s="730"/>
      <c r="E29" s="37"/>
      <c r="F29" s="33" t="str">
        <f>完成工事高!J29</f>
        <v/>
      </c>
      <c r="G29" s="70" t="str">
        <f t="shared" si="0"/>
        <v/>
      </c>
      <c r="H29" s="70">
        <f>IF($B29="*",VLOOKUP($F29,別表第一!$A$3:$E$44,3),0)</f>
        <v>0</v>
      </c>
      <c r="I29" s="70">
        <f>IF($B29="*",VLOOKUP($F29,別表第一!$A$3:$E$44,4),0)</f>
        <v>0</v>
      </c>
      <c r="J29" s="68">
        <f>IF($B29="*",VLOOKUP($F29,別表第一!$A$3:$E$44,5),0)</f>
        <v>0</v>
      </c>
      <c r="K29" s="37"/>
      <c r="L29" s="33" t="str">
        <f>完成工事高!K29</f>
        <v/>
      </c>
      <c r="M29" s="70" t="str">
        <f t="shared" si="1"/>
        <v/>
      </c>
      <c r="N29" s="70">
        <f>IF($B29="*",VLOOKUP($L29,別表第一!$A$3:$E$44,3),0)</f>
        <v>0</v>
      </c>
      <c r="O29" s="70">
        <f>IF($B29="*",VLOOKUP($L29,別表第一!$A$3:$E$44,4),0)</f>
        <v>0</v>
      </c>
      <c r="P29" s="68">
        <f>IF($B29="*",VLOOKUP($L29,別表第一!$A$3:$E$44,5),0)</f>
        <v>0</v>
      </c>
    </row>
    <row r="30" spans="1:16" ht="12" customHeight="1" x14ac:dyDescent="0.15">
      <c r="B30" s="16" t="str">
        <f>完成工事高!B30</f>
        <v/>
      </c>
      <c r="C30" s="730" t="s">
        <v>79</v>
      </c>
      <c r="D30" s="730"/>
      <c r="E30" s="37"/>
      <c r="F30" s="33" t="str">
        <f>完成工事高!J30</f>
        <v/>
      </c>
      <c r="G30" s="70" t="str">
        <f t="shared" si="0"/>
        <v/>
      </c>
      <c r="H30" s="70">
        <f>IF($B30="*",VLOOKUP($F30,別表第一!$A$3:$E$44,3),0)</f>
        <v>0</v>
      </c>
      <c r="I30" s="70">
        <f>IF($B30="*",VLOOKUP($F30,別表第一!$A$3:$E$44,4),0)</f>
        <v>0</v>
      </c>
      <c r="J30" s="68">
        <f>IF($B30="*",VLOOKUP($F30,別表第一!$A$3:$E$44,5),0)</f>
        <v>0</v>
      </c>
      <c r="K30" s="37"/>
      <c r="L30" s="33" t="str">
        <f>完成工事高!K30</f>
        <v/>
      </c>
      <c r="M30" s="70" t="str">
        <f t="shared" si="1"/>
        <v/>
      </c>
      <c r="N30" s="70">
        <f>IF($B30="*",VLOOKUP($L30,別表第一!$A$3:$E$44,3),0)</f>
        <v>0</v>
      </c>
      <c r="O30" s="70">
        <f>IF($B30="*",VLOOKUP($L30,別表第一!$A$3:$E$44,4),0)</f>
        <v>0</v>
      </c>
      <c r="P30" s="68">
        <f>IF($B30="*",VLOOKUP($L30,別表第一!$A$3:$E$44,5),0)</f>
        <v>0</v>
      </c>
    </row>
    <row r="31" spans="1:16" ht="12" customHeight="1" x14ac:dyDescent="0.15">
      <c r="B31" s="16" t="str">
        <f>完成工事高!B31</f>
        <v/>
      </c>
      <c r="C31" s="730" t="s">
        <v>80</v>
      </c>
      <c r="D31" s="730"/>
      <c r="E31" s="37"/>
      <c r="F31" s="33" t="str">
        <f>完成工事高!J31</f>
        <v/>
      </c>
      <c r="G31" s="70" t="str">
        <f t="shared" si="0"/>
        <v/>
      </c>
      <c r="H31" s="70">
        <f>IF($B31="*",VLOOKUP($F31,別表第一!$A$3:$E$44,3),0)</f>
        <v>0</v>
      </c>
      <c r="I31" s="70">
        <f>IF($B31="*",VLOOKUP($F31,別表第一!$A$3:$E$44,4),0)</f>
        <v>0</v>
      </c>
      <c r="J31" s="68">
        <f>IF($B31="*",VLOOKUP($F31,別表第一!$A$3:$E$44,5),0)</f>
        <v>0</v>
      </c>
      <c r="K31" s="37"/>
      <c r="L31" s="33" t="str">
        <f>完成工事高!K31</f>
        <v/>
      </c>
      <c r="M31" s="70" t="str">
        <f t="shared" si="1"/>
        <v/>
      </c>
      <c r="N31" s="70">
        <f>IF($B31="*",VLOOKUP($L31,別表第一!$A$3:$E$44,3),0)</f>
        <v>0</v>
      </c>
      <c r="O31" s="70">
        <f>IF($B31="*",VLOOKUP($L31,別表第一!$A$3:$E$44,4),0)</f>
        <v>0</v>
      </c>
      <c r="P31" s="68">
        <f>IF($B31="*",VLOOKUP($L31,別表第一!$A$3:$E$44,5),0)</f>
        <v>0</v>
      </c>
    </row>
    <row r="32" spans="1:16" ht="12" customHeight="1" x14ac:dyDescent="0.15">
      <c r="B32" s="16" t="str">
        <f>完成工事高!B32</f>
        <v/>
      </c>
      <c r="C32" s="730" t="s">
        <v>1</v>
      </c>
      <c r="D32" s="730"/>
      <c r="E32" s="37"/>
      <c r="F32" s="33" t="str">
        <f>完成工事高!J32</f>
        <v/>
      </c>
      <c r="G32" s="70" t="str">
        <f t="shared" si="0"/>
        <v/>
      </c>
      <c r="H32" s="70">
        <f>IF($B32="*",VLOOKUP($F32,別表第一!$A$3:$E$44,3),0)</f>
        <v>0</v>
      </c>
      <c r="I32" s="70">
        <f>IF($B32="*",VLOOKUP($F32,別表第一!$A$3:$E$44,4),0)</f>
        <v>0</v>
      </c>
      <c r="J32" s="68">
        <f>IF($B32="*",VLOOKUP($F32,別表第一!$A$3:$E$44,5),0)</f>
        <v>0</v>
      </c>
      <c r="K32" s="37"/>
      <c r="L32" s="33" t="str">
        <f>完成工事高!K32</f>
        <v/>
      </c>
      <c r="M32" s="70" t="str">
        <f t="shared" si="1"/>
        <v/>
      </c>
      <c r="N32" s="70">
        <f>IF($B32="*",VLOOKUP($L32,別表第一!$A$3:$E$44,3),0)</f>
        <v>0</v>
      </c>
      <c r="O32" s="70">
        <f>IF($B32="*",VLOOKUP($L32,別表第一!$A$3:$E$44,4),0)</f>
        <v>0</v>
      </c>
      <c r="P32" s="68">
        <f>IF($B32="*",VLOOKUP($L32,別表第一!$A$3:$E$44,5),0)</f>
        <v>0</v>
      </c>
    </row>
    <row r="33" spans="2:16" ht="12" customHeight="1" x14ac:dyDescent="0.15">
      <c r="B33" s="16" t="str">
        <f>完成工事高!B33</f>
        <v/>
      </c>
      <c r="C33" s="730" t="s">
        <v>3</v>
      </c>
      <c r="D33" s="730"/>
      <c r="E33" s="37"/>
      <c r="F33" s="33" t="str">
        <f>完成工事高!J33</f>
        <v/>
      </c>
      <c r="G33" s="70" t="str">
        <f t="shared" si="0"/>
        <v/>
      </c>
      <c r="H33" s="70">
        <f>IF($B33="*",VLOOKUP($F33,別表第一!$A$3:$E$44,3),0)</f>
        <v>0</v>
      </c>
      <c r="I33" s="70">
        <f>IF($B33="*",VLOOKUP($F33,別表第一!$A$3:$E$44,4),0)</f>
        <v>0</v>
      </c>
      <c r="J33" s="68">
        <f>IF($B33="*",VLOOKUP($F33,別表第一!$A$3:$E$44,5),0)</f>
        <v>0</v>
      </c>
      <c r="K33" s="37"/>
      <c r="L33" s="33" t="str">
        <f>完成工事高!K33</f>
        <v/>
      </c>
      <c r="M33" s="70" t="str">
        <f t="shared" si="1"/>
        <v/>
      </c>
      <c r="N33" s="70">
        <f>IF($B33="*",VLOOKUP($L33,別表第一!$A$3:$E$44,3),0)</f>
        <v>0</v>
      </c>
      <c r="O33" s="70">
        <f>IF($B33="*",VLOOKUP($L33,別表第一!$A$3:$E$44,4),0)</f>
        <v>0</v>
      </c>
      <c r="P33" s="68">
        <f>IF($B33="*",VLOOKUP($L33,別表第一!$A$3:$E$44,5),0)</f>
        <v>0</v>
      </c>
    </row>
    <row r="34" spans="2:16" ht="12" customHeight="1" x14ac:dyDescent="0.15">
      <c r="B34" s="16" t="str">
        <f>完成工事高!B34</f>
        <v/>
      </c>
      <c r="C34" s="730" t="s">
        <v>5</v>
      </c>
      <c r="D34" s="730"/>
      <c r="E34" s="37"/>
      <c r="F34" s="33" t="str">
        <f>完成工事高!J34</f>
        <v/>
      </c>
      <c r="G34" s="70" t="str">
        <f t="shared" si="0"/>
        <v/>
      </c>
      <c r="H34" s="70">
        <f>IF($B34="*",VLOOKUP($F34,別表第一!$A$3:$E$44,3),0)</f>
        <v>0</v>
      </c>
      <c r="I34" s="70">
        <f>IF($B34="*",VLOOKUP($F34,別表第一!$A$3:$E$44,4),0)</f>
        <v>0</v>
      </c>
      <c r="J34" s="68">
        <f>IF($B34="*",VLOOKUP($F34,別表第一!$A$3:$E$44,5),0)</f>
        <v>0</v>
      </c>
      <c r="K34" s="37"/>
      <c r="L34" s="33" t="str">
        <f>完成工事高!K34</f>
        <v/>
      </c>
      <c r="M34" s="70" t="str">
        <f t="shared" si="1"/>
        <v/>
      </c>
      <c r="N34" s="70">
        <f>IF($B34="*",VLOOKUP($L34,別表第一!$A$3:$E$44,3),0)</f>
        <v>0</v>
      </c>
      <c r="O34" s="70">
        <f>IF($B34="*",VLOOKUP($L34,別表第一!$A$3:$E$44,4),0)</f>
        <v>0</v>
      </c>
      <c r="P34" s="68">
        <f>IF($B34="*",VLOOKUP($L34,別表第一!$A$3:$E$44,5),0)</f>
        <v>0</v>
      </c>
    </row>
    <row r="35" spans="2:16" ht="12" customHeight="1" x14ac:dyDescent="0.15">
      <c r="B35" s="16" t="str">
        <f>完成工事高!B35</f>
        <v/>
      </c>
      <c r="C35" s="730" t="s">
        <v>7</v>
      </c>
      <c r="D35" s="730"/>
      <c r="E35" s="37"/>
      <c r="F35" s="33" t="str">
        <f>完成工事高!J35</f>
        <v/>
      </c>
      <c r="G35" s="70" t="str">
        <f t="shared" si="0"/>
        <v/>
      </c>
      <c r="H35" s="70">
        <f>IF($B35="*",VLOOKUP($F35,別表第一!$A$3:$E$44,3),0)</f>
        <v>0</v>
      </c>
      <c r="I35" s="70">
        <f>IF($B35="*",VLOOKUP($F35,別表第一!$A$3:$E$44,4),0)</f>
        <v>0</v>
      </c>
      <c r="J35" s="68">
        <f>IF($B35="*",VLOOKUP($F35,別表第一!$A$3:$E$44,5),0)</f>
        <v>0</v>
      </c>
      <c r="K35" s="37"/>
      <c r="L35" s="33" t="str">
        <f>完成工事高!K35</f>
        <v/>
      </c>
      <c r="M35" s="70" t="str">
        <f t="shared" si="1"/>
        <v/>
      </c>
      <c r="N35" s="70">
        <f>IF($B35="*",VLOOKUP($L35,別表第一!$A$3:$E$44,3),0)</f>
        <v>0</v>
      </c>
      <c r="O35" s="70">
        <f>IF($B35="*",VLOOKUP($L35,別表第一!$A$3:$E$44,4),0)</f>
        <v>0</v>
      </c>
      <c r="P35" s="68">
        <f>IF($B35="*",VLOOKUP($L35,別表第一!$A$3:$E$44,5),0)</f>
        <v>0</v>
      </c>
    </row>
    <row r="36" spans="2:16" ht="12" customHeight="1" x14ac:dyDescent="0.15">
      <c r="B36" s="16" t="str">
        <f>完成工事高!B36</f>
        <v/>
      </c>
      <c r="C36" s="730" t="s">
        <v>9</v>
      </c>
      <c r="D36" s="730"/>
      <c r="E36" s="37"/>
      <c r="F36" s="33" t="str">
        <f>完成工事高!J36</f>
        <v/>
      </c>
      <c r="G36" s="70" t="str">
        <f t="shared" si="0"/>
        <v/>
      </c>
      <c r="H36" s="70">
        <f>IF($B36="*",VLOOKUP($F36,別表第一!$A$3:$E$44,3),0)</f>
        <v>0</v>
      </c>
      <c r="I36" s="70">
        <f>IF($B36="*",VLOOKUP($F36,別表第一!$A$3:$E$44,4),0)</f>
        <v>0</v>
      </c>
      <c r="J36" s="68">
        <f>IF($B36="*",VLOOKUP($F36,別表第一!$A$3:$E$44,5),0)</f>
        <v>0</v>
      </c>
      <c r="K36" s="37"/>
      <c r="L36" s="33" t="str">
        <f>完成工事高!K36</f>
        <v/>
      </c>
      <c r="M36" s="70" t="str">
        <f t="shared" si="1"/>
        <v/>
      </c>
      <c r="N36" s="70">
        <f>IF($B36="*",VLOOKUP($L36,別表第一!$A$3:$E$44,3),0)</f>
        <v>0</v>
      </c>
      <c r="O36" s="70">
        <f>IF($B36="*",VLOOKUP($L36,別表第一!$A$3:$E$44,4),0)</f>
        <v>0</v>
      </c>
      <c r="P36" s="68">
        <f>IF($B36="*",VLOOKUP($L36,別表第一!$A$3:$E$44,5),0)</f>
        <v>0</v>
      </c>
    </row>
    <row r="37" spans="2:16" ht="12" customHeight="1" x14ac:dyDescent="0.15">
      <c r="B37" s="16" t="str">
        <f>完成工事高!B37</f>
        <v/>
      </c>
      <c r="C37" s="730" t="s">
        <v>12</v>
      </c>
      <c r="D37" s="730"/>
      <c r="E37" s="37"/>
      <c r="F37" s="33" t="str">
        <f>完成工事高!J37</f>
        <v/>
      </c>
      <c r="G37" s="70" t="str">
        <f t="shared" si="0"/>
        <v/>
      </c>
      <c r="H37" s="70">
        <f>IF($B37="*",VLOOKUP($F37,別表第一!$A$3:$E$44,3),0)</f>
        <v>0</v>
      </c>
      <c r="I37" s="70">
        <f>IF($B37="*",VLOOKUP($F37,別表第一!$A$3:$E$44,4),0)</f>
        <v>0</v>
      </c>
      <c r="J37" s="68">
        <f>IF($B37="*",VLOOKUP($F37,別表第一!$A$3:$E$44,5),0)</f>
        <v>0</v>
      </c>
      <c r="K37" s="37"/>
      <c r="L37" s="33" t="str">
        <f>完成工事高!K37</f>
        <v/>
      </c>
      <c r="M37" s="70" t="str">
        <f t="shared" si="1"/>
        <v/>
      </c>
      <c r="N37" s="70">
        <f>IF($B37="*",VLOOKUP($L37,別表第一!$A$3:$E$44,3),0)</f>
        <v>0</v>
      </c>
      <c r="O37" s="70">
        <f>IF($B37="*",VLOOKUP($L37,別表第一!$A$3:$E$44,4),0)</f>
        <v>0</v>
      </c>
      <c r="P37" s="68">
        <f>IF($B37="*",VLOOKUP($L37,別表第一!$A$3:$E$44,5),0)</f>
        <v>0</v>
      </c>
    </row>
    <row r="38" spans="2:16" ht="12" customHeight="1" x14ac:dyDescent="0.15">
      <c r="B38" s="16" t="str">
        <f>完成工事高!B38</f>
        <v/>
      </c>
      <c r="C38" s="730" t="s">
        <v>533</v>
      </c>
      <c r="D38" s="730"/>
      <c r="E38" s="37"/>
      <c r="F38" s="33" t="str">
        <f>完成工事高!J38</f>
        <v/>
      </c>
      <c r="G38" s="70" t="str">
        <f t="shared" si="0"/>
        <v/>
      </c>
      <c r="H38" s="70">
        <f>IF($B38="*",VLOOKUP($F38,別表第一!$A$3:$E$44,3),0)</f>
        <v>0</v>
      </c>
      <c r="I38" s="70">
        <f>IF($B38="*",VLOOKUP($F38,別表第一!$A$3:$E$44,4),0)</f>
        <v>0</v>
      </c>
      <c r="J38" s="68">
        <f>IF($B38="*",VLOOKUP($F38,別表第一!$A$3:$E$44,5),0)</f>
        <v>0</v>
      </c>
      <c r="K38" s="37"/>
      <c r="L38" s="33" t="str">
        <f>完成工事高!K38</f>
        <v/>
      </c>
      <c r="M38" s="70" t="str">
        <f t="shared" si="1"/>
        <v/>
      </c>
      <c r="N38" s="70">
        <f>IF($B38="*",VLOOKUP($L38,別表第一!$A$3:$E$44,3),0)</f>
        <v>0</v>
      </c>
      <c r="O38" s="70">
        <f>IF($B38="*",VLOOKUP($L38,別表第一!$A$3:$E$44,4),0)</f>
        <v>0</v>
      </c>
      <c r="P38" s="68">
        <f>IF($B38="*",VLOOKUP($L38,別表第一!$A$3:$E$44,5),0)</f>
        <v>0</v>
      </c>
    </row>
    <row r="39" spans="2:16" ht="12" customHeight="1" x14ac:dyDescent="0.15">
      <c r="B39" s="16"/>
      <c r="C39" s="730" t="s">
        <v>47</v>
      </c>
      <c r="D39" s="730"/>
      <c r="E39" s="37"/>
      <c r="F39" s="33" t="str">
        <f>完成工事高!J39</f>
        <v/>
      </c>
      <c r="G39" s="70" t="str">
        <f t="shared" si="0"/>
        <v/>
      </c>
      <c r="H39" s="70">
        <f>IF($B39="*",VLOOKUP($F39,別表第一!$A$3:$E$44,3),0)</f>
        <v>0</v>
      </c>
      <c r="I39" s="70">
        <f>IF($B39="*",VLOOKUP($F39,別表第一!$A$3:$E$44,4),0)</f>
        <v>0</v>
      </c>
      <c r="J39" s="68">
        <f>IF($B39="*",VLOOKUP($F39,別表第一!$A$3:$E$44,5),0)</f>
        <v>0</v>
      </c>
      <c r="K39" s="37"/>
      <c r="L39" s="33" t="str">
        <f>完成工事高!K39</f>
        <v/>
      </c>
      <c r="M39" s="70" t="str">
        <f t="shared" si="1"/>
        <v/>
      </c>
      <c r="N39" s="70">
        <f>IF($B39="*",VLOOKUP($L39,別表第一!$A$3:$E$44,3),0)</f>
        <v>0</v>
      </c>
      <c r="O39" s="70">
        <f>IF($B39="*",VLOOKUP($L39,別表第一!$A$3:$E$44,4),0)</f>
        <v>0</v>
      </c>
      <c r="P39" s="68">
        <f>IF($B39="*",VLOOKUP($L39,別表第一!$A$3:$E$44,5),0)</f>
        <v>0</v>
      </c>
    </row>
    <row r="40" spans="2:16" ht="12" customHeight="1" x14ac:dyDescent="0.15">
      <c r="B40" s="16"/>
      <c r="C40" s="730" t="s">
        <v>114</v>
      </c>
      <c r="D40" s="730"/>
      <c r="E40" s="37"/>
      <c r="F40" s="33">
        <f>完成工事高!J40</f>
        <v>253410</v>
      </c>
      <c r="K40" s="37"/>
      <c r="L40" s="33">
        <f>完成工事高!K40</f>
        <v>221017</v>
      </c>
    </row>
  </sheetData>
  <sheetProtection algorithmName="SHA-512" hashValue="jOBn2udo7d3z/8T1ziuQM3/mcdkKWO5qnewbfTWhDwFn/HQve6dH6O/M0KdhKe8UhkuuXYuyG3ifClvT0ZFFwQ==" saltValue="ncaQH0TGva90M5O3B7Wp5g==" spinCount="100000" sheet="1" selectLockedCells="1" selectUnlockedCells="1"/>
  <mergeCells count="40">
    <mergeCell ref="C40:D40"/>
    <mergeCell ref="C38:D38"/>
    <mergeCell ref="C39:D39"/>
    <mergeCell ref="C30:D30"/>
    <mergeCell ref="C33:D33"/>
    <mergeCell ref="C34:D34"/>
    <mergeCell ref="C37:D37"/>
    <mergeCell ref="C36:D36"/>
    <mergeCell ref="C26:D26"/>
    <mergeCell ref="C23:D23"/>
    <mergeCell ref="C10:D10"/>
    <mergeCell ref="C21:D21"/>
    <mergeCell ref="C27:D27"/>
    <mergeCell ref="M5:P5"/>
    <mergeCell ref="C35:D35"/>
    <mergeCell ref="G5:J5"/>
    <mergeCell ref="C12:D12"/>
    <mergeCell ref="C11:D11"/>
    <mergeCell ref="C7:D7"/>
    <mergeCell ref="C32:D32"/>
    <mergeCell ref="C29:D29"/>
    <mergeCell ref="C18:D18"/>
    <mergeCell ref="C28:D28"/>
    <mergeCell ref="L5:L6"/>
    <mergeCell ref="C22:D22"/>
    <mergeCell ref="C25:D25"/>
    <mergeCell ref="C24:D24"/>
    <mergeCell ref="C16:D16"/>
    <mergeCell ref="C31:D31"/>
    <mergeCell ref="A23:A25"/>
    <mergeCell ref="C13:D13"/>
    <mergeCell ref="C17:D17"/>
    <mergeCell ref="F5:F6"/>
    <mergeCell ref="C15:D15"/>
    <mergeCell ref="B5:D6"/>
    <mergeCell ref="C19:D19"/>
    <mergeCell ref="C20:D20"/>
    <mergeCell ref="C14:D14"/>
    <mergeCell ref="C8:D8"/>
    <mergeCell ref="C9:D9"/>
  </mergeCells>
  <phoneticPr fontId="2"/>
  <pageMargins left="0.78740157480314965" right="0.19685039370078741" top="0.39370078740157483" bottom="0" header="0" footer="0"/>
  <pageSetup paperSize="9"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tabColor indexed="46"/>
    <pageSetUpPr autoPageBreaks="0" fitToPage="1"/>
  </sheetPr>
  <dimension ref="A2:X40"/>
  <sheetViews>
    <sheetView workbookViewId="0"/>
  </sheetViews>
  <sheetFormatPr defaultColWidth="2.625" defaultRowHeight="12" customHeight="1" x14ac:dyDescent="0.15"/>
  <cols>
    <col min="1" max="1" width="2.125" style="24" customWidth="1"/>
    <col min="2" max="2" width="8.625" style="24" customWidth="1"/>
    <col min="3" max="3" width="4.625" style="24" customWidth="1"/>
    <col min="4" max="4" width="12.625" style="24" customWidth="1"/>
    <col min="5" max="5" width="2.125" style="24" customWidth="1"/>
    <col min="6" max="6" width="13.625" style="24" customWidth="1"/>
    <col min="7" max="7" width="12.625" style="68" customWidth="1"/>
    <col min="8" max="8" width="8.625" style="68" customWidth="1"/>
    <col min="9" max="9" width="10.625" style="68" customWidth="1"/>
    <col min="10" max="10" width="7.625" style="68" customWidth="1"/>
    <col min="11" max="11" width="2.625" style="24" customWidth="1"/>
    <col min="12" max="12" width="4.625" style="24" customWidth="1"/>
    <col min="13" max="13" width="2.625" style="24" customWidth="1"/>
    <col min="14" max="14" width="10.875" style="24" bestFit="1" customWidth="1"/>
    <col min="15" max="15" width="2.125" style="24" customWidth="1"/>
    <col min="16" max="16" width="13.625" style="24" customWidth="1"/>
    <col min="17" max="17" width="12.625" style="68" customWidth="1"/>
    <col min="18" max="18" width="8.625" style="68" customWidth="1"/>
    <col min="19" max="19" width="10.625" style="68" customWidth="1"/>
    <col min="20" max="20" width="7.625" style="68" customWidth="1"/>
    <col min="21" max="21" width="2.625" style="24" customWidth="1"/>
    <col min="22" max="22" width="4.625" style="24" customWidth="1"/>
    <col min="23" max="23" width="2.625" style="24" customWidth="1"/>
    <col min="24" max="24" width="10.875" style="24" bestFit="1" customWidth="1"/>
    <col min="25" max="16384" width="2.625" style="24"/>
  </cols>
  <sheetData>
    <row r="2" spans="2:24" ht="12" customHeight="1" x14ac:dyDescent="0.15">
      <c r="B2" s="1" t="s">
        <v>543</v>
      </c>
      <c r="C2" s="1"/>
      <c r="D2" s="1"/>
      <c r="E2" s="1"/>
      <c r="F2" s="255" t="s">
        <v>27</v>
      </c>
      <c r="G2" s="70">
        <v>2865</v>
      </c>
      <c r="N2" s="256" t="s">
        <v>536</v>
      </c>
      <c r="O2" s="1"/>
      <c r="P2" s="254"/>
      <c r="Q2" s="70"/>
      <c r="X2" s="256"/>
    </row>
    <row r="3" spans="2:24" ht="12" customHeight="1" x14ac:dyDescent="0.15">
      <c r="B3" s="16"/>
      <c r="C3" s="1"/>
      <c r="D3" s="1"/>
      <c r="E3" s="1"/>
      <c r="F3" s="254" t="s">
        <v>198</v>
      </c>
      <c r="G3" s="70">
        <v>241</v>
      </c>
      <c r="N3" s="256">
        <v>456</v>
      </c>
      <c r="O3" s="1"/>
      <c r="P3" s="254"/>
      <c r="Q3" s="70"/>
      <c r="X3" s="256"/>
    </row>
    <row r="4" spans="2:24" ht="12" customHeight="1" x14ac:dyDescent="0.15">
      <c r="B4" s="16"/>
      <c r="C4" s="1"/>
      <c r="D4" s="1"/>
      <c r="E4" s="1"/>
      <c r="O4" s="1"/>
      <c r="P4" s="1"/>
    </row>
    <row r="5" spans="2:24" ht="12" customHeight="1" x14ac:dyDescent="0.15">
      <c r="B5" s="419"/>
      <c r="C5" s="419"/>
      <c r="D5" s="419"/>
      <c r="E5" s="16"/>
      <c r="F5" s="419" t="s">
        <v>39</v>
      </c>
      <c r="G5" s="731" t="s">
        <v>540</v>
      </c>
      <c r="H5" s="732"/>
      <c r="I5" s="732"/>
      <c r="J5" s="732"/>
      <c r="O5" s="16"/>
      <c r="P5" s="419" t="s">
        <v>39</v>
      </c>
      <c r="Q5" s="731" t="s">
        <v>541</v>
      </c>
      <c r="R5" s="732"/>
      <c r="S5" s="732"/>
      <c r="T5" s="732"/>
    </row>
    <row r="6" spans="2:24" ht="12" customHeight="1" x14ac:dyDescent="0.15">
      <c r="B6" s="419"/>
      <c r="C6" s="419"/>
      <c r="D6" s="419"/>
      <c r="E6" s="16"/>
      <c r="F6" s="419"/>
      <c r="G6" s="69" t="s">
        <v>534</v>
      </c>
      <c r="H6" s="69" t="s">
        <v>128</v>
      </c>
      <c r="I6" s="69" t="s">
        <v>127</v>
      </c>
      <c r="J6" s="69" t="s">
        <v>129</v>
      </c>
      <c r="L6" s="24" t="s">
        <v>433</v>
      </c>
      <c r="N6" s="24" t="s">
        <v>434</v>
      </c>
      <c r="O6" s="16"/>
      <c r="P6" s="419"/>
      <c r="Q6" s="69" t="s">
        <v>534</v>
      </c>
      <c r="R6" s="69" t="s">
        <v>128</v>
      </c>
      <c r="S6" s="69" t="s">
        <v>127</v>
      </c>
      <c r="T6" s="69" t="s">
        <v>129</v>
      </c>
      <c r="V6" s="24" t="s">
        <v>433</v>
      </c>
      <c r="X6" s="24" t="s">
        <v>120</v>
      </c>
    </row>
    <row r="7" spans="2:24" ht="12" customHeight="1" x14ac:dyDescent="0.15">
      <c r="B7" s="16" t="str">
        <f>完成工事高!B7</f>
        <v>*</v>
      </c>
      <c r="C7" s="730" t="s">
        <v>48</v>
      </c>
      <c r="D7" s="730"/>
      <c r="E7" s="37"/>
      <c r="F7" s="33">
        <f>元請完成工事高!J7</f>
        <v>218065</v>
      </c>
      <c r="G7" s="70">
        <f>IF(F7="","",IF(F7&gt;=100000000,$G$2,IF(AND(H7=0,I7=0,J7=0),0,INT(H7*$F7/I7+J7))))</f>
        <v>947</v>
      </c>
      <c r="H7" s="70">
        <f>IF($B7="*",VLOOKUP($F7,別表第五!$A$3:$E$44,3),0)</f>
        <v>35</v>
      </c>
      <c r="I7" s="70">
        <f>IF($B7="*",VLOOKUP($F7,別表第五!$A$3:$E$44,4),0)</f>
        <v>50000</v>
      </c>
      <c r="J7" s="68">
        <f>IF($B7="*",VLOOKUP($F7,別表第五!$A$3:$E$44,5),0)</f>
        <v>795</v>
      </c>
      <c r="L7" s="74">
        <f>技術者!P7</f>
        <v>510</v>
      </c>
      <c r="N7" s="24">
        <f>IF(L7="","",IF(基本事項!$AM$8=1,$N$3,INT(L7*0.8+G7*0.2)))</f>
        <v>456</v>
      </c>
      <c r="O7" s="37"/>
      <c r="P7" s="33">
        <f>元請完成工事高!K7</f>
        <v>193477</v>
      </c>
      <c r="Q7" s="70">
        <f>IF(P7="","",IF(P7&gt;=100000000,$G$2,IF(AND(R7=0,S7=0,T7=0),0,INT(R7*$P7/S7+T7))))</f>
        <v>929</v>
      </c>
      <c r="R7" s="70">
        <f>IF($B7="*",VLOOKUP($P7,別表第五!$A$3:$E$44,3),0)</f>
        <v>45</v>
      </c>
      <c r="S7" s="70">
        <f>IF($B7="*",VLOOKUP($P7,別表第五!$A$3:$E$44,4),0)</f>
        <v>50000</v>
      </c>
      <c r="T7" s="68">
        <f>IF($B7="*",VLOOKUP($P7,別表第五!$A$3:$E$44,5),0)</f>
        <v>755</v>
      </c>
      <c r="V7" s="74">
        <f>技術者!P7</f>
        <v>510</v>
      </c>
      <c r="X7" s="24">
        <f>IF(V7="","",IF(基本事項!$AM$8=1,$N$3,INT(V7*0.8+Q7*0.2)))</f>
        <v>456</v>
      </c>
    </row>
    <row r="8" spans="2:24" ht="12" customHeight="1" x14ac:dyDescent="0.15">
      <c r="B8" s="16" t="str">
        <f>B7</f>
        <v>*</v>
      </c>
      <c r="C8" s="730" t="s">
        <v>429</v>
      </c>
      <c r="D8" s="730"/>
      <c r="E8" s="37"/>
      <c r="F8" s="33">
        <f>元請完成工事高!J8</f>
        <v>0</v>
      </c>
      <c r="G8" s="70">
        <f t="shared" ref="G8:G39" si="0">IF(F8="","",IF(F8&gt;=100000000,$G$2,IF(AND(H8=0,I8=0,J8=0),0,INT(H8*$F8/I8+J8))))</f>
        <v>241</v>
      </c>
      <c r="H8" s="70">
        <f>IF($B8="*",VLOOKUP($F8,別表第五!$A$3:$E$44,3),0)</f>
        <v>341</v>
      </c>
      <c r="I8" s="70">
        <f>IF($B8="*",VLOOKUP($F8,別表第五!$A$3:$E$44,4),0)</f>
        <v>10000</v>
      </c>
      <c r="J8" s="68">
        <f>IF($B8="*",VLOOKUP($F8,別表第五!$A$3:$E$44,5),0)</f>
        <v>241</v>
      </c>
      <c r="L8" s="74">
        <f>技術者!P8</f>
        <v>510</v>
      </c>
      <c r="N8" s="24">
        <f>IF(L8="","",IF(基本事項!$AM$8=1,$N$3,INT(L8*0.8+G8*0.2)))</f>
        <v>456</v>
      </c>
      <c r="O8" s="37"/>
      <c r="P8" s="33">
        <f>元請完成工事高!K8</f>
        <v>0</v>
      </c>
      <c r="Q8" s="70">
        <f t="shared" ref="Q8:Q39" si="1">IF(P8="","",IF(P8&gt;=100000000,$G$2,IF(AND(R8=0,S8=0,T8=0),0,INT(R8*$P8/S8+T8))))</f>
        <v>241</v>
      </c>
      <c r="R8" s="70">
        <f>IF($B8="*",VLOOKUP($P8,別表第五!$A$3:$E$44,3),0)</f>
        <v>341</v>
      </c>
      <c r="S8" s="70">
        <f>IF($B8="*",VLOOKUP($P8,別表第五!$A$3:$E$44,4),0)</f>
        <v>10000</v>
      </c>
      <c r="T8" s="68">
        <f>IF($B8="*",VLOOKUP($P8,別表第五!$A$3:$E$44,5),0)</f>
        <v>241</v>
      </c>
      <c r="V8" s="74">
        <f>技術者!P8</f>
        <v>510</v>
      </c>
      <c r="X8" s="24">
        <f>IF(V8="","",IF(基本事項!$AM$8=1,$N$3,INT(V8*0.8+Q8*0.2)))</f>
        <v>456</v>
      </c>
    </row>
    <row r="9" spans="2:24" ht="12" customHeight="1" x14ac:dyDescent="0.15">
      <c r="B9" s="16" t="str">
        <f>完成工事高!B9</f>
        <v>*</v>
      </c>
      <c r="C9" s="730" t="s">
        <v>53</v>
      </c>
      <c r="D9" s="730"/>
      <c r="E9" s="37"/>
      <c r="F9" s="33">
        <f>元請完成工事高!J9</f>
        <v>0</v>
      </c>
      <c r="G9" s="70">
        <f t="shared" si="0"/>
        <v>241</v>
      </c>
      <c r="H9" s="70">
        <f>IF($B9="*",VLOOKUP($F9,別表第五!$A$3:$E$44,3),0)</f>
        <v>341</v>
      </c>
      <c r="I9" s="70">
        <f>IF($B9="*",VLOOKUP($F9,別表第五!$A$3:$E$44,4),0)</f>
        <v>10000</v>
      </c>
      <c r="J9" s="68">
        <f>IF($B9="*",VLOOKUP($F9,別表第五!$A$3:$E$44,5),0)</f>
        <v>241</v>
      </c>
      <c r="L9" s="74">
        <f>技術者!P9</f>
        <v>510</v>
      </c>
      <c r="N9" s="24">
        <f>IF(L9="","",IF(基本事項!$AM$8=1,$N$3,INT(L9*0.8+G9*0.2)))</f>
        <v>456</v>
      </c>
      <c r="O9" s="37"/>
      <c r="P9" s="33">
        <f>元請完成工事高!K9</f>
        <v>0</v>
      </c>
      <c r="Q9" s="70">
        <f t="shared" si="1"/>
        <v>241</v>
      </c>
      <c r="R9" s="70">
        <f>IF($B9="*",VLOOKUP($P9,別表第五!$A$3:$E$44,3),0)</f>
        <v>341</v>
      </c>
      <c r="S9" s="70">
        <f>IF($B9="*",VLOOKUP($P9,別表第五!$A$3:$E$44,4),0)</f>
        <v>10000</v>
      </c>
      <c r="T9" s="68">
        <f>IF($B9="*",VLOOKUP($P9,別表第五!$A$3:$E$44,5),0)</f>
        <v>241</v>
      </c>
      <c r="V9" s="74">
        <f>技術者!P9</f>
        <v>510</v>
      </c>
      <c r="X9" s="24">
        <f>IF(V9="","",IF(基本事項!$AM$8=1,$N$3,INT(V9*0.8+Q9*0.2)))</f>
        <v>456</v>
      </c>
    </row>
    <row r="10" spans="2:24" ht="12" customHeight="1" x14ac:dyDescent="0.15">
      <c r="B10" s="16" t="str">
        <f>完成工事高!B10</f>
        <v/>
      </c>
      <c r="C10" s="730" t="s">
        <v>54</v>
      </c>
      <c r="D10" s="730"/>
      <c r="E10" s="37"/>
      <c r="F10" s="33" t="str">
        <f>元請完成工事高!J10</f>
        <v/>
      </c>
      <c r="G10" s="70" t="str">
        <f t="shared" si="0"/>
        <v/>
      </c>
      <c r="H10" s="70">
        <f>IF($B10="*",VLOOKUP($F10,別表第五!$A$3:$E$44,3),0)</f>
        <v>0</v>
      </c>
      <c r="I10" s="70">
        <f>IF($B10="*",VLOOKUP($F10,別表第五!$A$3:$E$44,4),0)</f>
        <v>0</v>
      </c>
      <c r="J10" s="68">
        <f>IF($B10="*",VLOOKUP($F10,別表第五!$A$3:$E$44,5),0)</f>
        <v>0</v>
      </c>
      <c r="L10" s="74" t="str">
        <f>技術者!P10</f>
        <v/>
      </c>
      <c r="N10" s="24" t="str">
        <f>IF(L10="","",IF(基本事項!$AM$8=1,$N$3,INT(L10*0.8+G10*0.2)))</f>
        <v/>
      </c>
      <c r="O10" s="37"/>
      <c r="P10" s="33" t="str">
        <f>元請完成工事高!K10</f>
        <v/>
      </c>
      <c r="Q10" s="70" t="str">
        <f t="shared" si="1"/>
        <v/>
      </c>
      <c r="R10" s="70">
        <f>IF($B10="*",VLOOKUP($P10,別表第五!$A$3:$E$44,3),0)</f>
        <v>0</v>
      </c>
      <c r="S10" s="70">
        <f>IF($B10="*",VLOOKUP($P10,別表第五!$A$3:$E$44,4),0)</f>
        <v>0</v>
      </c>
      <c r="T10" s="68">
        <f>IF($B10="*",VLOOKUP($P10,別表第五!$A$3:$E$44,5),0)</f>
        <v>0</v>
      </c>
      <c r="V10" s="74" t="str">
        <f>技術者!P10</f>
        <v/>
      </c>
      <c r="X10" s="24" t="str">
        <f>IF(V10="","",IF(基本事項!$AM$8=1,$N$3,INT(V10*0.8+Q10*0.2)))</f>
        <v/>
      </c>
    </row>
    <row r="11" spans="2:24" ht="12" customHeight="1" x14ac:dyDescent="0.15">
      <c r="B11" s="16" t="str">
        <f>完成工事高!B11</f>
        <v/>
      </c>
      <c r="C11" s="730" t="s">
        <v>56</v>
      </c>
      <c r="D11" s="730"/>
      <c r="E11" s="37"/>
      <c r="F11" s="33" t="str">
        <f>元請完成工事高!J11</f>
        <v/>
      </c>
      <c r="G11" s="70" t="str">
        <f t="shared" si="0"/>
        <v/>
      </c>
      <c r="H11" s="70">
        <f>IF($B11="*",VLOOKUP($F11,別表第五!$A$3:$E$44,3),0)</f>
        <v>0</v>
      </c>
      <c r="I11" s="70">
        <f>IF($B11="*",VLOOKUP($F11,別表第五!$A$3:$E$44,4),0)</f>
        <v>0</v>
      </c>
      <c r="J11" s="68">
        <f>IF($B11="*",VLOOKUP($F11,別表第五!$A$3:$E$44,5),0)</f>
        <v>0</v>
      </c>
      <c r="L11" s="74" t="str">
        <f>技術者!P11</f>
        <v/>
      </c>
      <c r="N11" s="24" t="str">
        <f>IF(L11="","",IF(基本事項!$AM$8=1,$N$3,INT(L11*0.8+G11*0.2)))</f>
        <v/>
      </c>
      <c r="O11" s="37"/>
      <c r="P11" s="33" t="str">
        <f>元請完成工事高!K11</f>
        <v/>
      </c>
      <c r="Q11" s="70" t="str">
        <f t="shared" si="1"/>
        <v/>
      </c>
      <c r="R11" s="70">
        <f>IF($B11="*",VLOOKUP($P11,別表第五!$A$3:$E$44,3),0)</f>
        <v>0</v>
      </c>
      <c r="S11" s="70">
        <f>IF($B11="*",VLOOKUP($P11,別表第五!$A$3:$E$44,4),0)</f>
        <v>0</v>
      </c>
      <c r="T11" s="68">
        <f>IF($B11="*",VLOOKUP($P11,別表第五!$A$3:$E$44,5),0)</f>
        <v>0</v>
      </c>
      <c r="V11" s="74" t="str">
        <f>技術者!P11</f>
        <v/>
      </c>
      <c r="X11" s="24" t="str">
        <f>IF(V11="","",IF(基本事項!$AM$8=1,$N$3,INT(V11*0.8+Q11*0.2)))</f>
        <v/>
      </c>
    </row>
    <row r="12" spans="2:24" ht="12" customHeight="1" x14ac:dyDescent="0.15">
      <c r="B12" s="16" t="str">
        <f>完成工事高!B12</f>
        <v>*</v>
      </c>
      <c r="C12" s="733" t="s">
        <v>58</v>
      </c>
      <c r="D12" s="733"/>
      <c r="E12" s="253"/>
      <c r="F12" s="33">
        <f>元請完成工事高!J12</f>
        <v>0</v>
      </c>
      <c r="G12" s="70">
        <f t="shared" si="0"/>
        <v>241</v>
      </c>
      <c r="H12" s="70">
        <f>IF($B12="*",VLOOKUP($F12,別表第五!$A$3:$E$44,3),0)</f>
        <v>341</v>
      </c>
      <c r="I12" s="70">
        <f>IF($B12="*",VLOOKUP($F12,別表第五!$A$3:$E$44,4),0)</f>
        <v>10000</v>
      </c>
      <c r="J12" s="68">
        <f>IF($B12="*",VLOOKUP($F12,別表第五!$A$3:$E$44,5),0)</f>
        <v>241</v>
      </c>
      <c r="L12" s="74">
        <f>技術者!P12</f>
        <v>510</v>
      </c>
      <c r="N12" s="24">
        <f>IF(L12="","",IF(基本事項!$AM$8=1,$N$3,INT(L12*0.8+G12*0.2)))</f>
        <v>456</v>
      </c>
      <c r="O12" s="253"/>
      <c r="P12" s="33">
        <f>元請完成工事高!K12</f>
        <v>0</v>
      </c>
      <c r="Q12" s="70">
        <f t="shared" si="1"/>
        <v>241</v>
      </c>
      <c r="R12" s="70">
        <f>IF($B12="*",VLOOKUP($P12,別表第五!$A$3:$E$44,3),0)</f>
        <v>341</v>
      </c>
      <c r="S12" s="70">
        <f>IF($B12="*",VLOOKUP($P12,別表第五!$A$3:$E$44,4),0)</f>
        <v>10000</v>
      </c>
      <c r="T12" s="68">
        <f>IF($B12="*",VLOOKUP($P12,別表第五!$A$3:$E$44,5),0)</f>
        <v>241</v>
      </c>
      <c r="V12" s="74">
        <f>技術者!P12</f>
        <v>510</v>
      </c>
      <c r="X12" s="24">
        <f>IF(V12="","",IF(基本事項!$AM$8=1,$N$3,INT(V12*0.8+Q12*0.2)))</f>
        <v>456</v>
      </c>
    </row>
    <row r="13" spans="2:24" ht="12" customHeight="1" x14ac:dyDescent="0.15">
      <c r="B13" s="16" t="str">
        <f>B12</f>
        <v>*</v>
      </c>
      <c r="C13" s="730" t="s">
        <v>59</v>
      </c>
      <c r="D13" s="730"/>
      <c r="E13" s="37"/>
      <c r="F13" s="33">
        <f>元請完成工事高!J13</f>
        <v>0</v>
      </c>
      <c r="G13" s="70">
        <f t="shared" si="0"/>
        <v>241</v>
      </c>
      <c r="H13" s="70">
        <f>IF($B13="*",VLOOKUP($F13,別表第五!$A$3:$E$44,3),0)</f>
        <v>341</v>
      </c>
      <c r="I13" s="70">
        <f>IF($B13="*",VLOOKUP($F13,別表第五!$A$3:$E$44,4),0)</f>
        <v>10000</v>
      </c>
      <c r="J13" s="68">
        <f>IF($B13="*",VLOOKUP($F13,別表第五!$A$3:$E$44,5),0)</f>
        <v>241</v>
      </c>
      <c r="L13" s="74">
        <f>技術者!P13</f>
        <v>510</v>
      </c>
      <c r="N13" s="24">
        <f>IF(L13="","",IF(基本事項!$AM$8=1,$N$3,INT(L13*0.8+G13*0.2)))</f>
        <v>456</v>
      </c>
      <c r="O13" s="37"/>
      <c r="P13" s="33">
        <f>元請完成工事高!K13</f>
        <v>0</v>
      </c>
      <c r="Q13" s="70">
        <f t="shared" si="1"/>
        <v>241</v>
      </c>
      <c r="R13" s="70">
        <f>IF($B13="*",VLOOKUP($P13,別表第五!$A$3:$E$44,3),0)</f>
        <v>341</v>
      </c>
      <c r="S13" s="70">
        <f>IF($B13="*",VLOOKUP($P13,別表第五!$A$3:$E$44,4),0)</f>
        <v>10000</v>
      </c>
      <c r="T13" s="68">
        <f>IF($B13="*",VLOOKUP($P13,別表第五!$A$3:$E$44,5),0)</f>
        <v>241</v>
      </c>
      <c r="V13" s="74">
        <f>技術者!P13</f>
        <v>510</v>
      </c>
      <c r="X13" s="24">
        <f>IF(V13="","",IF(基本事項!$AM$8=1,$N$3,INT(V13*0.8+Q13*0.2)))</f>
        <v>456</v>
      </c>
    </row>
    <row r="14" spans="2:24" ht="12" customHeight="1" x14ac:dyDescent="0.15">
      <c r="B14" s="16" t="str">
        <f>完成工事高!B14</f>
        <v/>
      </c>
      <c r="C14" s="730" t="s">
        <v>61</v>
      </c>
      <c r="D14" s="730"/>
      <c r="E14" s="37"/>
      <c r="F14" s="33" t="str">
        <f>元請完成工事高!J14</f>
        <v/>
      </c>
      <c r="G14" s="70" t="str">
        <f t="shared" si="0"/>
        <v/>
      </c>
      <c r="H14" s="70">
        <f>IF($B14="*",VLOOKUP($F14,別表第五!$A$3:$E$44,3),0)</f>
        <v>0</v>
      </c>
      <c r="I14" s="70">
        <f>IF($B14="*",VLOOKUP($F14,別表第五!$A$3:$E$44,4),0)</f>
        <v>0</v>
      </c>
      <c r="J14" s="68">
        <f>IF($B14="*",VLOOKUP($F14,別表第五!$A$3:$E$44,5),0)</f>
        <v>0</v>
      </c>
      <c r="L14" s="74" t="str">
        <f>技術者!P14</f>
        <v/>
      </c>
      <c r="N14" s="24" t="str">
        <f>IF(L14="","",IF(基本事項!$AM$8=1,$N$3,INT(L14*0.8+G14*0.2)))</f>
        <v/>
      </c>
      <c r="O14" s="37"/>
      <c r="P14" s="33" t="str">
        <f>元請完成工事高!K14</f>
        <v/>
      </c>
      <c r="Q14" s="70" t="str">
        <f t="shared" si="1"/>
        <v/>
      </c>
      <c r="R14" s="70">
        <f>IF($B14="*",VLOOKUP($P14,別表第五!$A$3:$E$44,3),0)</f>
        <v>0</v>
      </c>
      <c r="S14" s="70">
        <f>IF($B14="*",VLOOKUP($P14,別表第五!$A$3:$E$44,4),0)</f>
        <v>0</v>
      </c>
      <c r="T14" s="68">
        <f>IF($B14="*",VLOOKUP($P14,別表第五!$A$3:$E$44,5),0)</f>
        <v>0</v>
      </c>
      <c r="V14" s="74" t="str">
        <f>技術者!P14</f>
        <v/>
      </c>
      <c r="X14" s="24" t="str">
        <f>IF(V14="","",IF(基本事項!$AM$8=1,$N$3,INT(V14*0.8+Q14*0.2)))</f>
        <v/>
      </c>
    </row>
    <row r="15" spans="2:24" ht="12" customHeight="1" x14ac:dyDescent="0.15">
      <c r="B15" s="16" t="str">
        <f>完成工事高!B15</f>
        <v/>
      </c>
      <c r="C15" s="730" t="s">
        <v>62</v>
      </c>
      <c r="D15" s="730"/>
      <c r="E15" s="37"/>
      <c r="F15" s="33" t="str">
        <f>元請完成工事高!J15</f>
        <v/>
      </c>
      <c r="G15" s="70" t="str">
        <f t="shared" si="0"/>
        <v/>
      </c>
      <c r="H15" s="70">
        <f>IF($B15="*",VLOOKUP($F15,別表第五!$A$3:$E$44,3),0)</f>
        <v>0</v>
      </c>
      <c r="I15" s="70">
        <f>IF($B15="*",VLOOKUP($F15,別表第五!$A$3:$E$44,4),0)</f>
        <v>0</v>
      </c>
      <c r="J15" s="68">
        <f>IF($B15="*",VLOOKUP($F15,別表第五!$A$3:$E$44,5),0)</f>
        <v>0</v>
      </c>
      <c r="L15" s="74" t="str">
        <f>技術者!P15</f>
        <v/>
      </c>
      <c r="N15" s="24" t="str">
        <f>IF(L15="","",IF(基本事項!$AM$8=1,$N$3,INT(L15*0.8+G15*0.2)))</f>
        <v/>
      </c>
      <c r="O15" s="37"/>
      <c r="P15" s="33" t="str">
        <f>元請完成工事高!K15</f>
        <v/>
      </c>
      <c r="Q15" s="70" t="str">
        <f t="shared" si="1"/>
        <v/>
      </c>
      <c r="R15" s="70">
        <f>IF($B15="*",VLOOKUP($P15,別表第五!$A$3:$E$44,3),0)</f>
        <v>0</v>
      </c>
      <c r="S15" s="70">
        <f>IF($B15="*",VLOOKUP($P15,別表第五!$A$3:$E$44,4),0)</f>
        <v>0</v>
      </c>
      <c r="T15" s="68">
        <f>IF($B15="*",VLOOKUP($P15,別表第五!$A$3:$E$44,5),0)</f>
        <v>0</v>
      </c>
      <c r="V15" s="74" t="str">
        <f>技術者!P15</f>
        <v/>
      </c>
      <c r="X15" s="24" t="str">
        <f>IF(V15="","",IF(基本事項!$AM$8=1,$N$3,INT(V15*0.8+Q15*0.2)))</f>
        <v/>
      </c>
    </row>
    <row r="16" spans="2:24" ht="12" customHeight="1" x14ac:dyDescent="0.15">
      <c r="B16" s="16" t="str">
        <f>完成工事高!B16</f>
        <v/>
      </c>
      <c r="C16" s="730" t="s">
        <v>64</v>
      </c>
      <c r="D16" s="730"/>
      <c r="E16" s="37"/>
      <c r="F16" s="33" t="str">
        <f>元請完成工事高!J16</f>
        <v/>
      </c>
      <c r="G16" s="70" t="str">
        <f t="shared" si="0"/>
        <v/>
      </c>
      <c r="H16" s="70">
        <f>IF($B16="*",VLOOKUP($F16,別表第五!$A$3:$E$44,3),0)</f>
        <v>0</v>
      </c>
      <c r="I16" s="70">
        <f>IF($B16="*",VLOOKUP($F16,別表第五!$A$3:$E$44,4),0)</f>
        <v>0</v>
      </c>
      <c r="J16" s="68">
        <f>IF($B16="*",VLOOKUP($F16,別表第五!$A$3:$E$44,5),0)</f>
        <v>0</v>
      </c>
      <c r="L16" s="74" t="str">
        <f>技術者!P16</f>
        <v/>
      </c>
      <c r="N16" s="24" t="str">
        <f>IF(L16="","",IF(基本事項!$AM$8=1,$N$3,INT(L16*0.8+G16*0.2)))</f>
        <v/>
      </c>
      <c r="O16" s="37"/>
      <c r="P16" s="33" t="str">
        <f>元請完成工事高!K16</f>
        <v/>
      </c>
      <c r="Q16" s="70" t="str">
        <f t="shared" si="1"/>
        <v/>
      </c>
      <c r="R16" s="70">
        <f>IF($B16="*",VLOOKUP($P16,別表第五!$A$3:$E$44,3),0)</f>
        <v>0</v>
      </c>
      <c r="S16" s="70">
        <f>IF($B16="*",VLOOKUP($P16,別表第五!$A$3:$E$44,4),0)</f>
        <v>0</v>
      </c>
      <c r="T16" s="68">
        <f>IF($B16="*",VLOOKUP($P16,別表第五!$A$3:$E$44,5),0)</f>
        <v>0</v>
      </c>
      <c r="V16" s="74" t="str">
        <f>技術者!P16</f>
        <v/>
      </c>
      <c r="X16" s="24" t="str">
        <f>IF(V16="","",IF(基本事項!$AM$8=1,$N$3,INT(V16*0.8+Q16*0.2)))</f>
        <v/>
      </c>
    </row>
    <row r="17" spans="1:24" s="71" customFormat="1" ht="12" customHeight="1" x14ac:dyDescent="0.15">
      <c r="B17" s="16" t="str">
        <f>完成工事高!B17</f>
        <v/>
      </c>
      <c r="C17" s="730" t="s">
        <v>65</v>
      </c>
      <c r="D17" s="730"/>
      <c r="E17" s="37"/>
      <c r="F17" s="33" t="str">
        <f>元請完成工事高!J17</f>
        <v/>
      </c>
      <c r="G17" s="70" t="str">
        <f t="shared" si="0"/>
        <v/>
      </c>
      <c r="H17" s="70">
        <f>IF($B17="*",VLOOKUP($F17,別表第五!$A$3:$E$44,3),0)</f>
        <v>0</v>
      </c>
      <c r="I17" s="70">
        <f>IF($B17="*",VLOOKUP($F17,別表第五!$A$3:$E$44,4),0)</f>
        <v>0</v>
      </c>
      <c r="J17" s="68">
        <f>IF($B17="*",VLOOKUP($F17,別表第五!$A$3:$E$44,5),0)</f>
        <v>0</v>
      </c>
      <c r="L17" s="74" t="str">
        <f>技術者!P17</f>
        <v/>
      </c>
      <c r="N17" s="24" t="str">
        <f>IF(L17="","",IF(基本事項!$AM$8=1,$N$3,INT(L17*0.8+G17*0.2)))</f>
        <v/>
      </c>
      <c r="O17" s="37"/>
      <c r="P17" s="33" t="str">
        <f>元請完成工事高!K17</f>
        <v/>
      </c>
      <c r="Q17" s="70" t="str">
        <f t="shared" si="1"/>
        <v/>
      </c>
      <c r="R17" s="70">
        <f>IF($B17="*",VLOOKUP($P17,別表第五!$A$3:$E$44,3),0)</f>
        <v>0</v>
      </c>
      <c r="S17" s="70">
        <f>IF($B17="*",VLOOKUP($P17,別表第五!$A$3:$E$44,4),0)</f>
        <v>0</v>
      </c>
      <c r="T17" s="68">
        <f>IF($B17="*",VLOOKUP($P17,別表第五!$A$3:$E$44,5),0)</f>
        <v>0</v>
      </c>
      <c r="V17" s="74" t="str">
        <f>技術者!P17</f>
        <v/>
      </c>
      <c r="X17" s="24" t="str">
        <f>IF(V17="","",IF(基本事項!$AM$8=1,$N$3,INT(V17*0.8+Q17*0.2)))</f>
        <v/>
      </c>
    </row>
    <row r="18" spans="1:24" ht="12" customHeight="1" x14ac:dyDescent="0.15">
      <c r="A18" s="72"/>
      <c r="B18" s="16" t="str">
        <f>完成工事高!B18</f>
        <v/>
      </c>
      <c r="C18" s="733" t="s">
        <v>430</v>
      </c>
      <c r="D18" s="733"/>
      <c r="E18" s="253"/>
      <c r="F18" s="33" t="str">
        <f>元請完成工事高!J18</f>
        <v/>
      </c>
      <c r="G18" s="70" t="str">
        <f t="shared" si="0"/>
        <v/>
      </c>
      <c r="H18" s="70">
        <f>IF($B18="*",VLOOKUP($F18,別表第五!$A$3:$E$44,3),0)</f>
        <v>0</v>
      </c>
      <c r="I18" s="70">
        <f>IF($B18="*",VLOOKUP($F18,別表第五!$A$3:$E$44,4),0)</f>
        <v>0</v>
      </c>
      <c r="J18" s="68">
        <f>IF($B18="*",VLOOKUP($F18,別表第五!$A$3:$E$44,5),0)</f>
        <v>0</v>
      </c>
      <c r="L18" s="74" t="str">
        <f>技術者!P18</f>
        <v/>
      </c>
      <c r="N18" s="24" t="str">
        <f>IF(L18="","",IF(基本事項!$AM$8=1,$N$3,INT(L18*0.8+G18*0.2)))</f>
        <v/>
      </c>
      <c r="O18" s="253"/>
      <c r="P18" s="33" t="str">
        <f>元請完成工事高!K18</f>
        <v/>
      </c>
      <c r="Q18" s="70" t="str">
        <f t="shared" si="1"/>
        <v/>
      </c>
      <c r="R18" s="70">
        <f>IF($B18="*",VLOOKUP($P18,別表第五!$A$3:$E$44,3),0)</f>
        <v>0</v>
      </c>
      <c r="S18" s="70">
        <f>IF($B18="*",VLOOKUP($P18,別表第五!$A$3:$E$44,4),0)</f>
        <v>0</v>
      </c>
      <c r="T18" s="68">
        <f>IF($B18="*",VLOOKUP($P18,別表第五!$A$3:$E$44,5),0)</f>
        <v>0</v>
      </c>
      <c r="V18" s="74" t="str">
        <f>技術者!P18</f>
        <v/>
      </c>
      <c r="X18" s="24" t="str">
        <f>IF(V18="","",IF(基本事項!$AM$8=1,$N$3,INT(V18*0.8+Q18*0.2)))</f>
        <v/>
      </c>
    </row>
    <row r="19" spans="1:24" ht="12" customHeight="1" x14ac:dyDescent="0.15">
      <c r="A19" s="72"/>
      <c r="B19" s="16" t="str">
        <f>完成工事高!B19</f>
        <v/>
      </c>
      <c r="C19" s="730" t="s">
        <v>67</v>
      </c>
      <c r="D19" s="730"/>
      <c r="E19" s="37"/>
      <c r="F19" s="33" t="str">
        <f>元請完成工事高!J19</f>
        <v/>
      </c>
      <c r="G19" s="70" t="str">
        <f t="shared" si="0"/>
        <v/>
      </c>
      <c r="H19" s="70">
        <f>IF($B19="*",VLOOKUP($F19,別表第五!$A$3:$E$44,3),0)</f>
        <v>0</v>
      </c>
      <c r="I19" s="70">
        <f>IF($B19="*",VLOOKUP($F19,別表第五!$A$3:$E$44,4),0)</f>
        <v>0</v>
      </c>
      <c r="J19" s="68">
        <f>IF($B19="*",VLOOKUP($F19,別表第五!$A$3:$E$44,5),0)</f>
        <v>0</v>
      </c>
      <c r="L19" s="74" t="str">
        <f>技術者!P19</f>
        <v/>
      </c>
      <c r="N19" s="24" t="str">
        <f>IF(L19="","",IF(基本事項!$AM$8=1,$N$3,INT(L19*0.8+G19*0.2)))</f>
        <v/>
      </c>
      <c r="O19" s="37"/>
      <c r="P19" s="33" t="str">
        <f>元請完成工事高!K19</f>
        <v/>
      </c>
      <c r="Q19" s="70" t="str">
        <f t="shared" si="1"/>
        <v/>
      </c>
      <c r="R19" s="70">
        <f>IF($B19="*",VLOOKUP($P19,別表第五!$A$3:$E$44,3),0)</f>
        <v>0</v>
      </c>
      <c r="S19" s="70">
        <f>IF($B19="*",VLOOKUP($P19,別表第五!$A$3:$E$44,4),0)</f>
        <v>0</v>
      </c>
      <c r="T19" s="68">
        <f>IF($B19="*",VLOOKUP($P19,別表第五!$A$3:$E$44,5),0)</f>
        <v>0</v>
      </c>
      <c r="V19" s="74" t="str">
        <f>技術者!P19</f>
        <v/>
      </c>
      <c r="X19" s="24" t="str">
        <f>IF(V19="","",IF(基本事項!$AM$8=1,$N$3,INT(V19*0.8+Q19*0.2)))</f>
        <v/>
      </c>
    </row>
    <row r="20" spans="1:24" ht="12" customHeight="1" x14ac:dyDescent="0.15">
      <c r="B20" s="16" t="str">
        <f>B19</f>
        <v/>
      </c>
      <c r="C20" s="730" t="s">
        <v>70</v>
      </c>
      <c r="D20" s="730"/>
      <c r="E20" s="37"/>
      <c r="F20" s="33" t="str">
        <f>元請完成工事高!J20</f>
        <v/>
      </c>
      <c r="G20" s="70" t="str">
        <f t="shared" si="0"/>
        <v/>
      </c>
      <c r="H20" s="70">
        <f>IF($B20="*",VLOOKUP($F20,別表第五!$A$3:$E$44,3),0)</f>
        <v>0</v>
      </c>
      <c r="I20" s="70">
        <f>IF($B20="*",VLOOKUP($F20,別表第五!$A$3:$E$44,4),0)</f>
        <v>0</v>
      </c>
      <c r="J20" s="68">
        <f>IF($B20="*",VLOOKUP($F20,別表第五!$A$3:$E$44,5),0)</f>
        <v>0</v>
      </c>
      <c r="L20" s="74" t="str">
        <f>技術者!P20</f>
        <v/>
      </c>
      <c r="N20" s="24" t="str">
        <f>IF(L20="","",IF(基本事項!$AM$8=1,$N$3,INT(L20*0.8+G20*0.2)))</f>
        <v/>
      </c>
      <c r="O20" s="37"/>
      <c r="P20" s="33" t="str">
        <f>元請完成工事高!K20</f>
        <v/>
      </c>
      <c r="Q20" s="70" t="str">
        <f t="shared" si="1"/>
        <v/>
      </c>
      <c r="R20" s="70">
        <f>IF($B20="*",VLOOKUP($P20,別表第五!$A$3:$E$44,3),0)</f>
        <v>0</v>
      </c>
      <c r="S20" s="70">
        <f>IF($B20="*",VLOOKUP($P20,別表第五!$A$3:$E$44,4),0)</f>
        <v>0</v>
      </c>
      <c r="T20" s="68">
        <f>IF($B20="*",VLOOKUP($P20,別表第五!$A$3:$E$44,5),0)</f>
        <v>0</v>
      </c>
      <c r="V20" s="74" t="str">
        <f>技術者!P20</f>
        <v/>
      </c>
      <c r="X20" s="24" t="str">
        <f>IF(V20="","",IF(基本事項!$AM$8=1,$N$3,INT(V20*0.8+Q20*0.2)))</f>
        <v/>
      </c>
    </row>
    <row r="21" spans="1:24" ht="12" customHeight="1" x14ac:dyDescent="0.15">
      <c r="B21" s="16" t="str">
        <f>完成工事高!B21</f>
        <v/>
      </c>
      <c r="C21" s="730" t="s">
        <v>71</v>
      </c>
      <c r="D21" s="730"/>
      <c r="E21" s="37"/>
      <c r="F21" s="33" t="str">
        <f>元請完成工事高!J21</f>
        <v/>
      </c>
      <c r="G21" s="70" t="str">
        <f t="shared" si="0"/>
        <v/>
      </c>
      <c r="H21" s="70">
        <f>IF($B21="*",VLOOKUP($F21,別表第五!$A$3:$E$44,3),0)</f>
        <v>0</v>
      </c>
      <c r="I21" s="70">
        <f>IF($B21="*",VLOOKUP($F21,別表第五!$A$3:$E$44,4),0)</f>
        <v>0</v>
      </c>
      <c r="J21" s="68">
        <f>IF($B21="*",VLOOKUP($F21,別表第五!$A$3:$E$44,5),0)</f>
        <v>0</v>
      </c>
      <c r="L21" s="74" t="str">
        <f>技術者!P21</f>
        <v/>
      </c>
      <c r="N21" s="24" t="str">
        <f>IF(L21="","",IF(基本事項!$AM$8=1,$N$3,INT(L21*0.8+G21*0.2)))</f>
        <v/>
      </c>
      <c r="O21" s="37"/>
      <c r="P21" s="33" t="str">
        <f>元請完成工事高!K21</f>
        <v/>
      </c>
      <c r="Q21" s="70" t="str">
        <f t="shared" si="1"/>
        <v/>
      </c>
      <c r="R21" s="70">
        <f>IF($B21="*",VLOOKUP($P21,別表第五!$A$3:$E$44,3),0)</f>
        <v>0</v>
      </c>
      <c r="S21" s="70">
        <f>IF($B21="*",VLOOKUP($P21,別表第五!$A$3:$E$44,4),0)</f>
        <v>0</v>
      </c>
      <c r="T21" s="68">
        <f>IF($B21="*",VLOOKUP($P21,別表第五!$A$3:$E$44,5),0)</f>
        <v>0</v>
      </c>
      <c r="V21" s="74" t="str">
        <f>技術者!P21</f>
        <v/>
      </c>
      <c r="X21" s="24" t="str">
        <f>IF(V21="","",IF(基本事項!$AM$8=1,$N$3,INT(V21*0.8+Q21*0.2)))</f>
        <v/>
      </c>
    </row>
    <row r="22" spans="1:24" ht="12" customHeight="1" x14ac:dyDescent="0.15">
      <c r="B22" s="16" t="str">
        <f>完成工事高!B22</f>
        <v/>
      </c>
      <c r="C22" s="730" t="s">
        <v>549</v>
      </c>
      <c r="D22" s="730"/>
      <c r="E22" s="37"/>
      <c r="F22" s="33" t="str">
        <f>元請完成工事高!J22</f>
        <v/>
      </c>
      <c r="G22" s="70" t="str">
        <f t="shared" si="0"/>
        <v/>
      </c>
      <c r="H22" s="70">
        <f>IF($B22="*",VLOOKUP($F22,別表第五!$A$3:$E$44,3),0)</f>
        <v>0</v>
      </c>
      <c r="I22" s="70">
        <f>IF($B22="*",VLOOKUP($F22,別表第五!$A$3:$E$44,4),0)</f>
        <v>0</v>
      </c>
      <c r="J22" s="68">
        <f>IF($B22="*",VLOOKUP($F22,別表第五!$A$3:$E$44,5),0)</f>
        <v>0</v>
      </c>
      <c r="L22" s="74" t="str">
        <f>技術者!P22</f>
        <v/>
      </c>
      <c r="N22" s="24" t="str">
        <f>IF(L22="","",IF(基本事項!$AM$8=1,$N$3,INT(L22*0.8+G22*0.2)))</f>
        <v/>
      </c>
      <c r="O22" s="37"/>
      <c r="P22" s="33" t="str">
        <f>元請完成工事高!K22</f>
        <v/>
      </c>
      <c r="Q22" s="70" t="str">
        <f>IF(P22="","",IF(P22&gt;=100000000,$G$2,IF(AND(R22=0,S22=0,T22=0),0,INT(R22*$P22/S22+T22))))</f>
        <v/>
      </c>
      <c r="R22" s="70">
        <f>IF($B22="*",VLOOKUP($P22,別表第五!$A$3:$E$44,3),0)</f>
        <v>0</v>
      </c>
      <c r="S22" s="70">
        <f>IF($B22="*",VLOOKUP($P22,別表第五!$A$3:$E$44,4),0)</f>
        <v>0</v>
      </c>
      <c r="T22" s="68">
        <f>IF($B22="*",VLOOKUP($P22,別表第五!$A$3:$E$44,5),0)</f>
        <v>0</v>
      </c>
      <c r="V22" s="74" t="str">
        <f>技術者!P22</f>
        <v/>
      </c>
      <c r="X22" s="24" t="str">
        <f>IF(V22="","",IF(基本事項!$AM$8=1,$N$3,INT(V22*0.8+Q22*0.2)))</f>
        <v/>
      </c>
    </row>
    <row r="23" spans="1:24" ht="12" customHeight="1" x14ac:dyDescent="0.15">
      <c r="A23" s="728"/>
      <c r="B23" s="16" t="str">
        <f>完成工事高!B23</f>
        <v/>
      </c>
      <c r="C23" s="730" t="s">
        <v>431</v>
      </c>
      <c r="D23" s="730"/>
      <c r="E23" s="37"/>
      <c r="F23" s="33" t="str">
        <f>元請完成工事高!J23</f>
        <v/>
      </c>
      <c r="G23" s="70" t="str">
        <f t="shared" si="0"/>
        <v/>
      </c>
      <c r="H23" s="70">
        <f>IF($B23="*",VLOOKUP($F23,別表第五!$A$3:$E$44,3),0)</f>
        <v>0</v>
      </c>
      <c r="I23" s="70">
        <f>IF($B23="*",VLOOKUP($F23,別表第五!$A$3:$E$44,4),0)</f>
        <v>0</v>
      </c>
      <c r="J23" s="68">
        <f>IF($B23="*",VLOOKUP($F23,別表第五!$A$3:$E$44,5),0)</f>
        <v>0</v>
      </c>
      <c r="L23" s="74" t="str">
        <f>技術者!P23</f>
        <v/>
      </c>
      <c r="N23" s="24" t="str">
        <f>IF(L23="","",IF(基本事項!$AM$8=1,$N$3,INT(L23*0.8+G23*0.2)))</f>
        <v/>
      </c>
      <c r="O23" s="37"/>
      <c r="P23" s="33" t="str">
        <f>元請完成工事高!K23</f>
        <v/>
      </c>
      <c r="Q23" s="70" t="str">
        <f t="shared" si="1"/>
        <v/>
      </c>
      <c r="R23" s="70">
        <f>IF($B23="*",VLOOKUP($P23,別表第五!$A$3:$E$44,3),0)</f>
        <v>0</v>
      </c>
      <c r="S23" s="70">
        <f>IF($B23="*",VLOOKUP($P23,別表第五!$A$3:$E$44,4),0)</f>
        <v>0</v>
      </c>
      <c r="T23" s="68">
        <f>IF($B23="*",VLOOKUP($P23,別表第五!$A$3:$E$44,5),0)</f>
        <v>0</v>
      </c>
      <c r="V23" s="74" t="str">
        <f>技術者!P23</f>
        <v/>
      </c>
      <c r="X23" s="24" t="str">
        <f>IF(V23="","",IF(基本事項!$AM$8=1,$N$3,INT(V23*0.8+Q23*0.2)))</f>
        <v/>
      </c>
    </row>
    <row r="24" spans="1:24" ht="12" customHeight="1" x14ac:dyDescent="0.15">
      <c r="A24" s="728"/>
      <c r="B24" s="16" t="str">
        <f>完成工事高!B24</f>
        <v/>
      </c>
      <c r="C24" s="730" t="s">
        <v>72</v>
      </c>
      <c r="D24" s="730"/>
      <c r="E24" s="37"/>
      <c r="F24" s="33" t="str">
        <f>元請完成工事高!J24</f>
        <v/>
      </c>
      <c r="G24" s="70" t="str">
        <f t="shared" si="0"/>
        <v/>
      </c>
      <c r="H24" s="70">
        <f>IF($B24="*",VLOOKUP($F24,別表第五!$A$3:$E$44,3),0)</f>
        <v>0</v>
      </c>
      <c r="I24" s="70">
        <f>IF($B24="*",VLOOKUP($F24,別表第五!$A$3:$E$44,4),0)</f>
        <v>0</v>
      </c>
      <c r="J24" s="68">
        <f>IF($B24="*",VLOOKUP($F24,別表第五!$A$3:$E$44,5),0)</f>
        <v>0</v>
      </c>
      <c r="L24" s="74" t="str">
        <f>技術者!P24</f>
        <v/>
      </c>
      <c r="N24" s="24" t="str">
        <f>IF(L24="","",IF(基本事項!$AM$8=1,$N$3,INT(L24*0.8+G24*0.2)))</f>
        <v/>
      </c>
      <c r="O24" s="37"/>
      <c r="P24" s="33" t="str">
        <f>元請完成工事高!K24</f>
        <v/>
      </c>
      <c r="Q24" s="70" t="str">
        <f t="shared" si="1"/>
        <v/>
      </c>
      <c r="R24" s="70">
        <f>IF($B24="*",VLOOKUP($P24,別表第五!$A$3:$E$44,3),0)</f>
        <v>0</v>
      </c>
      <c r="S24" s="70">
        <f>IF($B24="*",VLOOKUP($P24,別表第五!$A$3:$E$44,4),0)</f>
        <v>0</v>
      </c>
      <c r="T24" s="68">
        <f>IF($B24="*",VLOOKUP($P24,別表第五!$A$3:$E$44,5),0)</f>
        <v>0</v>
      </c>
      <c r="V24" s="74" t="str">
        <f>技術者!P24</f>
        <v/>
      </c>
      <c r="X24" s="24" t="str">
        <f>IF(V24="","",IF(基本事項!$AM$8=1,$N$3,INT(V24*0.8+Q24*0.2)))</f>
        <v/>
      </c>
    </row>
    <row r="25" spans="1:24" ht="12" customHeight="1" x14ac:dyDescent="0.15">
      <c r="A25" s="729"/>
      <c r="B25" s="16" t="str">
        <f>完成工事高!B25</f>
        <v/>
      </c>
      <c r="C25" s="730" t="s">
        <v>435</v>
      </c>
      <c r="D25" s="730"/>
      <c r="E25" s="37"/>
      <c r="F25" s="33" t="str">
        <f>元請完成工事高!J25</f>
        <v/>
      </c>
      <c r="G25" s="70" t="str">
        <f t="shared" si="0"/>
        <v/>
      </c>
      <c r="H25" s="70">
        <f>IF($B25="*",VLOOKUP($F25,別表第五!$A$3:$E$44,3),0)</f>
        <v>0</v>
      </c>
      <c r="I25" s="70">
        <f>IF($B25="*",VLOOKUP($F25,別表第五!$A$3:$E$44,4),0)</f>
        <v>0</v>
      </c>
      <c r="J25" s="68">
        <f>IF($B25="*",VLOOKUP($F25,別表第五!$A$3:$E$44,5),0)</f>
        <v>0</v>
      </c>
      <c r="L25" s="74" t="str">
        <f>技術者!P25</f>
        <v/>
      </c>
      <c r="N25" s="24" t="str">
        <f>IF(L25="","",IF(基本事項!$AM$8=1,$N$3,INT(L25*0.8+G25*0.2)))</f>
        <v/>
      </c>
      <c r="O25" s="37"/>
      <c r="P25" s="33" t="str">
        <f>元請完成工事高!K25</f>
        <v/>
      </c>
      <c r="Q25" s="70" t="str">
        <f t="shared" si="1"/>
        <v/>
      </c>
      <c r="R25" s="70">
        <f>IF($B25="*",VLOOKUP($P25,別表第五!$A$3:$E$44,3),0)</f>
        <v>0</v>
      </c>
      <c r="S25" s="70">
        <f>IF($B25="*",VLOOKUP($P25,別表第五!$A$3:$E$44,4),0)</f>
        <v>0</v>
      </c>
      <c r="T25" s="68">
        <f>IF($B25="*",VLOOKUP($P25,別表第五!$A$3:$E$44,5),0)</f>
        <v>0</v>
      </c>
      <c r="V25" s="74" t="str">
        <f>技術者!P25</f>
        <v/>
      </c>
      <c r="X25" s="24" t="str">
        <f>IF(V25="","",IF(基本事項!$AM$8=1,$N$3,INT(V25*0.8+Q25*0.2)))</f>
        <v/>
      </c>
    </row>
    <row r="26" spans="1:24" ht="12" customHeight="1" x14ac:dyDescent="0.15">
      <c r="B26" s="16" t="str">
        <f>完成工事高!B26</f>
        <v/>
      </c>
      <c r="C26" s="730" t="s">
        <v>73</v>
      </c>
      <c r="D26" s="730"/>
      <c r="E26" s="37"/>
      <c r="F26" s="33" t="str">
        <f>元請完成工事高!J26</f>
        <v/>
      </c>
      <c r="G26" s="70" t="str">
        <f t="shared" si="0"/>
        <v/>
      </c>
      <c r="H26" s="70">
        <f>IF($B26="*",VLOOKUP($F26,別表第五!$A$3:$E$44,3),0)</f>
        <v>0</v>
      </c>
      <c r="I26" s="70">
        <f>IF($B26="*",VLOOKUP($F26,別表第五!$A$3:$E$44,4),0)</f>
        <v>0</v>
      </c>
      <c r="J26" s="68">
        <f>IF($B26="*",VLOOKUP($F26,別表第五!$A$3:$E$44,5),0)</f>
        <v>0</v>
      </c>
      <c r="L26" s="74" t="str">
        <f>技術者!P26</f>
        <v/>
      </c>
      <c r="N26" s="24" t="str">
        <f>IF(L26="","",IF(基本事項!$AM$8=1,$N$3,INT(L26*0.8+G26*0.2)))</f>
        <v/>
      </c>
      <c r="O26" s="37"/>
      <c r="P26" s="33" t="str">
        <f>元請完成工事高!K26</f>
        <v/>
      </c>
      <c r="Q26" s="70" t="str">
        <f t="shared" si="1"/>
        <v/>
      </c>
      <c r="R26" s="70">
        <f>IF($B26="*",VLOOKUP($P26,別表第五!$A$3:$E$44,3),0)</f>
        <v>0</v>
      </c>
      <c r="S26" s="70">
        <f>IF($B26="*",VLOOKUP($P26,別表第五!$A$3:$E$44,4),0)</f>
        <v>0</v>
      </c>
      <c r="T26" s="68">
        <f>IF($B26="*",VLOOKUP($P26,別表第五!$A$3:$E$44,5),0)</f>
        <v>0</v>
      </c>
      <c r="V26" s="74" t="str">
        <f>技術者!P26</f>
        <v/>
      </c>
      <c r="X26" s="24" t="str">
        <f>IF(V26="","",IF(基本事項!$AM$8=1,$N$3,INT(V26*0.8+Q26*0.2)))</f>
        <v/>
      </c>
    </row>
    <row r="27" spans="1:24" ht="12" customHeight="1" x14ac:dyDescent="0.15">
      <c r="B27" s="16" t="str">
        <f>完成工事高!B27</f>
        <v/>
      </c>
      <c r="C27" s="730" t="s">
        <v>76</v>
      </c>
      <c r="D27" s="730"/>
      <c r="E27" s="37"/>
      <c r="F27" s="33" t="str">
        <f>元請完成工事高!J27</f>
        <v/>
      </c>
      <c r="G27" s="70" t="str">
        <f t="shared" si="0"/>
        <v/>
      </c>
      <c r="H27" s="70">
        <f>IF($B27="*",VLOOKUP($F27,別表第五!$A$3:$E$44,3),0)</f>
        <v>0</v>
      </c>
      <c r="I27" s="70">
        <f>IF($B27="*",VLOOKUP($F27,別表第五!$A$3:$E$44,4),0)</f>
        <v>0</v>
      </c>
      <c r="J27" s="68">
        <f>IF($B27="*",VLOOKUP($F27,別表第五!$A$3:$E$44,5),0)</f>
        <v>0</v>
      </c>
      <c r="L27" s="74" t="str">
        <f>技術者!P27</f>
        <v/>
      </c>
      <c r="N27" s="24" t="str">
        <f>IF(L27="","",IF(基本事項!$AM$8=1,$N$3,INT(L27*0.8+G27*0.2)))</f>
        <v/>
      </c>
      <c r="O27" s="37"/>
      <c r="P27" s="33" t="str">
        <f>元請完成工事高!K27</f>
        <v/>
      </c>
      <c r="Q27" s="70" t="str">
        <f t="shared" si="1"/>
        <v/>
      </c>
      <c r="R27" s="70">
        <f>IF($B27="*",VLOOKUP($P27,別表第五!$A$3:$E$44,3),0)</f>
        <v>0</v>
      </c>
      <c r="S27" s="70">
        <f>IF($B27="*",VLOOKUP($P27,別表第五!$A$3:$E$44,4),0)</f>
        <v>0</v>
      </c>
      <c r="T27" s="68">
        <f>IF($B27="*",VLOOKUP($P27,別表第五!$A$3:$E$44,5),0)</f>
        <v>0</v>
      </c>
      <c r="V27" s="74" t="str">
        <f>技術者!P27</f>
        <v/>
      </c>
      <c r="X27" s="24" t="str">
        <f>IF(V27="","",IF(基本事項!$AM$8=1,$N$3,INT(V27*0.8+Q27*0.2)))</f>
        <v/>
      </c>
    </row>
    <row r="28" spans="1:24" ht="12" customHeight="1" x14ac:dyDescent="0.15">
      <c r="B28" s="16" t="str">
        <f>完成工事高!B28</f>
        <v/>
      </c>
      <c r="C28" s="730" t="s">
        <v>77</v>
      </c>
      <c r="D28" s="730"/>
      <c r="E28" s="37"/>
      <c r="F28" s="33" t="str">
        <f>元請完成工事高!J28</f>
        <v/>
      </c>
      <c r="G28" s="70" t="str">
        <f t="shared" si="0"/>
        <v/>
      </c>
      <c r="H28" s="70">
        <f>IF($B28="*",VLOOKUP($F28,別表第五!$A$3:$E$44,3),0)</f>
        <v>0</v>
      </c>
      <c r="I28" s="70">
        <f>IF($B28="*",VLOOKUP($F28,別表第五!$A$3:$E$44,4),0)</f>
        <v>0</v>
      </c>
      <c r="J28" s="68">
        <f>IF($B28="*",VLOOKUP($F28,別表第五!$A$3:$E$44,5),0)</f>
        <v>0</v>
      </c>
      <c r="L28" s="74" t="str">
        <f>技術者!P28</f>
        <v/>
      </c>
      <c r="N28" s="24" t="str">
        <f>IF(L28="","",IF(基本事項!$AM$8=1,$N$3,INT(L28*0.8+G28*0.2)))</f>
        <v/>
      </c>
      <c r="O28" s="37"/>
      <c r="P28" s="33" t="str">
        <f>元請完成工事高!K28</f>
        <v/>
      </c>
      <c r="Q28" s="70" t="str">
        <f t="shared" si="1"/>
        <v/>
      </c>
      <c r="R28" s="70">
        <f>IF($B28="*",VLOOKUP($P28,別表第五!$A$3:$E$44,3),0)</f>
        <v>0</v>
      </c>
      <c r="S28" s="70">
        <f>IF($B28="*",VLOOKUP($P28,別表第五!$A$3:$E$44,4),0)</f>
        <v>0</v>
      </c>
      <c r="T28" s="68">
        <f>IF($B28="*",VLOOKUP($P28,別表第五!$A$3:$E$44,5),0)</f>
        <v>0</v>
      </c>
      <c r="V28" s="74" t="str">
        <f>技術者!P28</f>
        <v/>
      </c>
      <c r="X28" s="24" t="str">
        <f>IF(V28="","",IF(基本事項!$AM$8=1,$N$3,INT(V28*0.8+Q28*0.2)))</f>
        <v/>
      </c>
    </row>
    <row r="29" spans="1:24" ht="12" customHeight="1" x14ac:dyDescent="0.15">
      <c r="B29" s="16" t="str">
        <f>完成工事高!B29</f>
        <v/>
      </c>
      <c r="C29" s="730" t="s">
        <v>78</v>
      </c>
      <c r="D29" s="730"/>
      <c r="E29" s="37"/>
      <c r="F29" s="33" t="str">
        <f>元請完成工事高!J29</f>
        <v/>
      </c>
      <c r="G29" s="70" t="str">
        <f t="shared" si="0"/>
        <v/>
      </c>
      <c r="H29" s="70">
        <f>IF($B29="*",VLOOKUP($F29,別表第五!$A$3:$E$44,3),0)</f>
        <v>0</v>
      </c>
      <c r="I29" s="70">
        <f>IF($B29="*",VLOOKUP($F29,別表第五!$A$3:$E$44,4),0)</f>
        <v>0</v>
      </c>
      <c r="J29" s="68">
        <f>IF($B29="*",VLOOKUP($F29,別表第五!$A$3:$E$44,5),0)</f>
        <v>0</v>
      </c>
      <c r="L29" s="74" t="str">
        <f>技術者!P29</f>
        <v/>
      </c>
      <c r="N29" s="24" t="str">
        <f>IF(L29="","",IF(基本事項!$AM$8=1,$N$3,INT(L29*0.8+G29*0.2)))</f>
        <v/>
      </c>
      <c r="O29" s="37"/>
      <c r="P29" s="33" t="str">
        <f>元請完成工事高!K29</f>
        <v/>
      </c>
      <c r="Q29" s="70" t="str">
        <f t="shared" si="1"/>
        <v/>
      </c>
      <c r="R29" s="70">
        <f>IF($B29="*",VLOOKUP($P29,別表第五!$A$3:$E$44,3),0)</f>
        <v>0</v>
      </c>
      <c r="S29" s="70">
        <f>IF($B29="*",VLOOKUP($P29,別表第五!$A$3:$E$44,4),0)</f>
        <v>0</v>
      </c>
      <c r="T29" s="68">
        <f>IF($B29="*",VLOOKUP($P29,別表第五!$A$3:$E$44,5),0)</f>
        <v>0</v>
      </c>
      <c r="V29" s="74" t="str">
        <f>技術者!P29</f>
        <v/>
      </c>
      <c r="X29" s="24" t="str">
        <f>IF(V29="","",IF(基本事項!$AM$8=1,$N$3,INT(V29*0.8+Q29*0.2)))</f>
        <v/>
      </c>
    </row>
    <row r="30" spans="1:24" ht="12" customHeight="1" x14ac:dyDescent="0.15">
      <c r="B30" s="16" t="str">
        <f>完成工事高!B30</f>
        <v/>
      </c>
      <c r="C30" s="730" t="s">
        <v>79</v>
      </c>
      <c r="D30" s="730"/>
      <c r="E30" s="37"/>
      <c r="F30" s="33" t="str">
        <f>元請完成工事高!J30</f>
        <v/>
      </c>
      <c r="G30" s="70" t="str">
        <f t="shared" si="0"/>
        <v/>
      </c>
      <c r="H30" s="70">
        <f>IF($B30="*",VLOOKUP($F30,別表第五!$A$3:$E$44,3),0)</f>
        <v>0</v>
      </c>
      <c r="I30" s="70">
        <f>IF($B30="*",VLOOKUP($F30,別表第五!$A$3:$E$44,4),0)</f>
        <v>0</v>
      </c>
      <c r="J30" s="68">
        <f>IF($B30="*",VLOOKUP($F30,別表第五!$A$3:$E$44,5),0)</f>
        <v>0</v>
      </c>
      <c r="L30" s="74" t="str">
        <f>技術者!P30</f>
        <v/>
      </c>
      <c r="N30" s="24" t="str">
        <f>IF(L30="","",IF(基本事項!$AM$8=1,$N$3,INT(L30*0.8+G30*0.2)))</f>
        <v/>
      </c>
      <c r="O30" s="37"/>
      <c r="P30" s="33" t="str">
        <f>元請完成工事高!K30</f>
        <v/>
      </c>
      <c r="Q30" s="70" t="str">
        <f t="shared" si="1"/>
        <v/>
      </c>
      <c r="R30" s="70">
        <f>IF($B30="*",VLOOKUP($P30,別表第五!$A$3:$E$44,3),0)</f>
        <v>0</v>
      </c>
      <c r="S30" s="70">
        <f>IF($B30="*",VLOOKUP($P30,別表第五!$A$3:$E$44,4),0)</f>
        <v>0</v>
      </c>
      <c r="T30" s="68">
        <f>IF($B30="*",VLOOKUP($P30,別表第五!$A$3:$E$44,5),0)</f>
        <v>0</v>
      </c>
      <c r="V30" s="74" t="str">
        <f>技術者!P30</f>
        <v/>
      </c>
      <c r="X30" s="24" t="str">
        <f>IF(V30="","",IF(基本事項!$AM$8=1,$N$3,INT(V30*0.8+Q30*0.2)))</f>
        <v/>
      </c>
    </row>
    <row r="31" spans="1:24" ht="12" customHeight="1" x14ac:dyDescent="0.15">
      <c r="B31" s="16" t="str">
        <f>完成工事高!B31</f>
        <v/>
      </c>
      <c r="C31" s="730" t="s">
        <v>80</v>
      </c>
      <c r="D31" s="730"/>
      <c r="E31" s="37"/>
      <c r="F31" s="33" t="str">
        <f>元請完成工事高!J31</f>
        <v/>
      </c>
      <c r="G31" s="70" t="str">
        <f t="shared" si="0"/>
        <v/>
      </c>
      <c r="H31" s="70">
        <f>IF($B31="*",VLOOKUP($F31,別表第五!$A$3:$E$44,3),0)</f>
        <v>0</v>
      </c>
      <c r="I31" s="70">
        <f>IF($B31="*",VLOOKUP($F31,別表第五!$A$3:$E$44,4),0)</f>
        <v>0</v>
      </c>
      <c r="J31" s="68">
        <f>IF($B31="*",VLOOKUP($F31,別表第五!$A$3:$E$44,5),0)</f>
        <v>0</v>
      </c>
      <c r="L31" s="74" t="str">
        <f>技術者!P31</f>
        <v/>
      </c>
      <c r="N31" s="24" t="str">
        <f>IF(L31="","",IF(基本事項!$AM$8=1,$N$3,INT(L31*0.8+G31*0.2)))</f>
        <v/>
      </c>
      <c r="O31" s="37"/>
      <c r="P31" s="33" t="str">
        <f>元請完成工事高!K31</f>
        <v/>
      </c>
      <c r="Q31" s="70" t="str">
        <f t="shared" si="1"/>
        <v/>
      </c>
      <c r="R31" s="70">
        <f>IF($B31="*",VLOOKUP($P31,別表第五!$A$3:$E$44,3),0)</f>
        <v>0</v>
      </c>
      <c r="S31" s="70">
        <f>IF($B31="*",VLOOKUP($P31,別表第五!$A$3:$E$44,4),0)</f>
        <v>0</v>
      </c>
      <c r="T31" s="68">
        <f>IF($B31="*",VLOOKUP($P31,別表第五!$A$3:$E$44,5),0)</f>
        <v>0</v>
      </c>
      <c r="V31" s="74" t="str">
        <f>技術者!P31</f>
        <v/>
      </c>
      <c r="X31" s="24" t="str">
        <f>IF(V31="","",IF(基本事項!$AM$8=1,$N$3,INT(V31*0.8+Q31*0.2)))</f>
        <v/>
      </c>
    </row>
    <row r="32" spans="1:24" ht="12" customHeight="1" x14ac:dyDescent="0.15">
      <c r="B32" s="16" t="str">
        <f>完成工事高!B32</f>
        <v/>
      </c>
      <c r="C32" s="730" t="s">
        <v>1</v>
      </c>
      <c r="D32" s="730"/>
      <c r="E32" s="37"/>
      <c r="F32" s="33" t="str">
        <f>元請完成工事高!J32</f>
        <v/>
      </c>
      <c r="G32" s="70" t="str">
        <f t="shared" si="0"/>
        <v/>
      </c>
      <c r="H32" s="70">
        <f>IF($B32="*",VLOOKUP($F32,別表第五!$A$3:$E$44,3),0)</f>
        <v>0</v>
      </c>
      <c r="I32" s="70">
        <f>IF($B32="*",VLOOKUP($F32,別表第五!$A$3:$E$44,4),0)</f>
        <v>0</v>
      </c>
      <c r="J32" s="68">
        <f>IF($B32="*",VLOOKUP($F32,別表第五!$A$3:$E$44,5),0)</f>
        <v>0</v>
      </c>
      <c r="L32" s="74" t="str">
        <f>技術者!P32</f>
        <v/>
      </c>
      <c r="N32" s="24" t="str">
        <f>IF(L32="","",IF(基本事項!$AM$8=1,$N$3,INT(L32*0.8+G32*0.2)))</f>
        <v/>
      </c>
      <c r="O32" s="37"/>
      <c r="P32" s="33" t="str">
        <f>元請完成工事高!K32</f>
        <v/>
      </c>
      <c r="Q32" s="70" t="str">
        <f t="shared" si="1"/>
        <v/>
      </c>
      <c r="R32" s="70">
        <f>IF($B32="*",VLOOKUP($P32,別表第五!$A$3:$E$44,3),0)</f>
        <v>0</v>
      </c>
      <c r="S32" s="70">
        <f>IF($B32="*",VLOOKUP($P32,別表第五!$A$3:$E$44,4),0)</f>
        <v>0</v>
      </c>
      <c r="T32" s="68">
        <f>IF($B32="*",VLOOKUP($P32,別表第五!$A$3:$E$44,5),0)</f>
        <v>0</v>
      </c>
      <c r="V32" s="74" t="str">
        <f>技術者!P32</f>
        <v/>
      </c>
      <c r="X32" s="24" t="str">
        <f>IF(V32="","",IF(基本事項!$AM$8=1,$N$3,INT(V32*0.8+Q32*0.2)))</f>
        <v/>
      </c>
    </row>
    <row r="33" spans="2:24" ht="12" customHeight="1" x14ac:dyDescent="0.15">
      <c r="B33" s="16" t="str">
        <f>完成工事高!B33</f>
        <v/>
      </c>
      <c r="C33" s="730" t="s">
        <v>3</v>
      </c>
      <c r="D33" s="730"/>
      <c r="E33" s="37"/>
      <c r="F33" s="33" t="str">
        <f>元請完成工事高!J33</f>
        <v/>
      </c>
      <c r="G33" s="70" t="str">
        <f t="shared" si="0"/>
        <v/>
      </c>
      <c r="H33" s="70">
        <f>IF($B33="*",VLOOKUP($F33,別表第五!$A$3:$E$44,3),0)</f>
        <v>0</v>
      </c>
      <c r="I33" s="70">
        <f>IF($B33="*",VLOOKUP($F33,別表第五!$A$3:$E$44,4),0)</f>
        <v>0</v>
      </c>
      <c r="J33" s="68">
        <f>IF($B33="*",VLOOKUP($F33,別表第五!$A$3:$E$44,5),0)</f>
        <v>0</v>
      </c>
      <c r="L33" s="74" t="str">
        <f>技術者!P33</f>
        <v/>
      </c>
      <c r="N33" s="24" t="str">
        <f>IF(L33="","",IF(基本事項!$AM$8=1,$N$3,INT(L33*0.8+G33*0.2)))</f>
        <v/>
      </c>
      <c r="O33" s="37"/>
      <c r="P33" s="33" t="str">
        <f>元請完成工事高!K33</f>
        <v/>
      </c>
      <c r="Q33" s="70" t="str">
        <f t="shared" si="1"/>
        <v/>
      </c>
      <c r="R33" s="70">
        <f>IF($B33="*",VLOOKUP($P33,別表第五!$A$3:$E$44,3),0)</f>
        <v>0</v>
      </c>
      <c r="S33" s="70">
        <f>IF($B33="*",VLOOKUP($P33,別表第五!$A$3:$E$44,4),0)</f>
        <v>0</v>
      </c>
      <c r="T33" s="68">
        <f>IF($B33="*",VLOOKUP($P33,別表第五!$A$3:$E$44,5),0)</f>
        <v>0</v>
      </c>
      <c r="V33" s="74" t="str">
        <f>技術者!P33</f>
        <v/>
      </c>
      <c r="X33" s="24" t="str">
        <f>IF(V33="","",IF(基本事項!$AM$8=1,$N$3,INT(V33*0.8+Q33*0.2)))</f>
        <v/>
      </c>
    </row>
    <row r="34" spans="2:24" ht="12" customHeight="1" x14ac:dyDescent="0.15">
      <c r="B34" s="16" t="str">
        <f>完成工事高!B34</f>
        <v/>
      </c>
      <c r="C34" s="730" t="s">
        <v>5</v>
      </c>
      <c r="D34" s="730"/>
      <c r="E34" s="37"/>
      <c r="F34" s="33" t="str">
        <f>元請完成工事高!J34</f>
        <v/>
      </c>
      <c r="G34" s="70" t="str">
        <f t="shared" si="0"/>
        <v/>
      </c>
      <c r="H34" s="70">
        <f>IF($B34="*",VLOOKUP($F34,別表第五!$A$3:$E$44,3),0)</f>
        <v>0</v>
      </c>
      <c r="I34" s="70">
        <f>IF($B34="*",VLOOKUP($F34,別表第五!$A$3:$E$44,4),0)</f>
        <v>0</v>
      </c>
      <c r="J34" s="68">
        <f>IF($B34="*",VLOOKUP($F34,別表第五!$A$3:$E$44,5),0)</f>
        <v>0</v>
      </c>
      <c r="L34" s="74" t="str">
        <f>技術者!P34</f>
        <v/>
      </c>
      <c r="N34" s="24" t="str">
        <f>IF(L34="","",IF(基本事項!$AM$8=1,$N$3,INT(L34*0.8+G34*0.2)))</f>
        <v/>
      </c>
      <c r="O34" s="37"/>
      <c r="P34" s="33" t="str">
        <f>元請完成工事高!K34</f>
        <v/>
      </c>
      <c r="Q34" s="70" t="str">
        <f t="shared" si="1"/>
        <v/>
      </c>
      <c r="R34" s="70">
        <f>IF($B34="*",VLOOKUP($P34,別表第五!$A$3:$E$44,3),0)</f>
        <v>0</v>
      </c>
      <c r="S34" s="70">
        <f>IF($B34="*",VLOOKUP($P34,別表第五!$A$3:$E$44,4),0)</f>
        <v>0</v>
      </c>
      <c r="T34" s="68">
        <f>IF($B34="*",VLOOKUP($P34,別表第五!$A$3:$E$44,5),0)</f>
        <v>0</v>
      </c>
      <c r="V34" s="74" t="str">
        <f>技術者!P34</f>
        <v/>
      </c>
      <c r="X34" s="24" t="str">
        <f>IF(V34="","",IF(基本事項!$AM$8=1,$N$3,INT(V34*0.8+Q34*0.2)))</f>
        <v/>
      </c>
    </row>
    <row r="35" spans="2:24" ht="12" customHeight="1" x14ac:dyDescent="0.15">
      <c r="B35" s="16" t="str">
        <f>完成工事高!B35</f>
        <v/>
      </c>
      <c r="C35" s="730" t="s">
        <v>7</v>
      </c>
      <c r="D35" s="730"/>
      <c r="E35" s="37"/>
      <c r="F35" s="33" t="str">
        <f>元請完成工事高!J35</f>
        <v/>
      </c>
      <c r="G35" s="70" t="str">
        <f t="shared" si="0"/>
        <v/>
      </c>
      <c r="H35" s="70">
        <f>IF($B35="*",VLOOKUP($F35,別表第五!$A$3:$E$44,3),0)</f>
        <v>0</v>
      </c>
      <c r="I35" s="70">
        <f>IF($B35="*",VLOOKUP($F35,別表第五!$A$3:$E$44,4),0)</f>
        <v>0</v>
      </c>
      <c r="J35" s="68">
        <f>IF($B35="*",VLOOKUP($F35,別表第五!$A$3:$E$44,5),0)</f>
        <v>0</v>
      </c>
      <c r="L35" s="74" t="str">
        <f>技術者!P35</f>
        <v/>
      </c>
      <c r="N35" s="24" t="str">
        <f>IF(L35="","",IF(基本事項!$AM$8=1,$N$3,INT(L35*0.8+G35*0.2)))</f>
        <v/>
      </c>
      <c r="O35" s="37"/>
      <c r="P35" s="33" t="str">
        <f>元請完成工事高!K35</f>
        <v/>
      </c>
      <c r="Q35" s="70" t="str">
        <f t="shared" si="1"/>
        <v/>
      </c>
      <c r="R35" s="70">
        <f>IF($B35="*",VLOOKUP($P35,別表第五!$A$3:$E$44,3),0)</f>
        <v>0</v>
      </c>
      <c r="S35" s="70">
        <f>IF($B35="*",VLOOKUP($P35,別表第五!$A$3:$E$44,4),0)</f>
        <v>0</v>
      </c>
      <c r="T35" s="68">
        <f>IF($B35="*",VLOOKUP($P35,別表第五!$A$3:$E$44,5),0)</f>
        <v>0</v>
      </c>
      <c r="V35" s="74" t="str">
        <f>技術者!P35</f>
        <v/>
      </c>
      <c r="X35" s="24" t="str">
        <f>IF(V35="","",IF(基本事項!$AM$8=1,$N$3,INT(V35*0.8+Q35*0.2)))</f>
        <v/>
      </c>
    </row>
    <row r="36" spans="2:24" ht="12" customHeight="1" x14ac:dyDescent="0.15">
      <c r="B36" s="16" t="str">
        <f>完成工事高!B36</f>
        <v/>
      </c>
      <c r="C36" s="730" t="s">
        <v>9</v>
      </c>
      <c r="D36" s="730"/>
      <c r="E36" s="37"/>
      <c r="F36" s="33" t="str">
        <f>元請完成工事高!J36</f>
        <v/>
      </c>
      <c r="G36" s="70" t="str">
        <f t="shared" si="0"/>
        <v/>
      </c>
      <c r="H36" s="70">
        <f>IF($B36="*",VLOOKUP($F36,別表第五!$A$3:$E$44,3),0)</f>
        <v>0</v>
      </c>
      <c r="I36" s="70">
        <f>IF($B36="*",VLOOKUP($F36,別表第五!$A$3:$E$44,4),0)</f>
        <v>0</v>
      </c>
      <c r="J36" s="68">
        <f>IF($B36="*",VLOOKUP($F36,別表第五!$A$3:$E$44,5),0)</f>
        <v>0</v>
      </c>
      <c r="L36" s="74" t="str">
        <f>技術者!P36</f>
        <v/>
      </c>
      <c r="N36" s="24" t="str">
        <f>IF(L36="","",IF(基本事項!$AM$8=1,$N$3,INT(L36*0.8+G36*0.2)))</f>
        <v/>
      </c>
      <c r="O36" s="37"/>
      <c r="P36" s="33" t="str">
        <f>元請完成工事高!K36</f>
        <v/>
      </c>
      <c r="Q36" s="70" t="str">
        <f t="shared" si="1"/>
        <v/>
      </c>
      <c r="R36" s="70">
        <f>IF($B36="*",VLOOKUP($P36,別表第五!$A$3:$E$44,3),0)</f>
        <v>0</v>
      </c>
      <c r="S36" s="70">
        <f>IF($B36="*",VLOOKUP($P36,別表第五!$A$3:$E$44,4),0)</f>
        <v>0</v>
      </c>
      <c r="T36" s="68">
        <f>IF($B36="*",VLOOKUP($P36,別表第五!$A$3:$E$44,5),0)</f>
        <v>0</v>
      </c>
      <c r="V36" s="74" t="str">
        <f>技術者!P36</f>
        <v/>
      </c>
      <c r="X36" s="24" t="str">
        <f>IF(V36="","",IF(基本事項!$AM$8=1,$N$3,INT(V36*0.8+Q36*0.2)))</f>
        <v/>
      </c>
    </row>
    <row r="37" spans="2:24" ht="12" customHeight="1" x14ac:dyDescent="0.15">
      <c r="B37" s="16" t="str">
        <f>完成工事高!B37</f>
        <v/>
      </c>
      <c r="C37" s="730" t="s">
        <v>12</v>
      </c>
      <c r="D37" s="730"/>
      <c r="E37" s="37"/>
      <c r="F37" s="33" t="str">
        <f>元請完成工事高!J37</f>
        <v/>
      </c>
      <c r="G37" s="70" t="str">
        <f t="shared" si="0"/>
        <v/>
      </c>
      <c r="H37" s="70">
        <f>IF($B37="*",VLOOKUP($F37,別表第五!$A$3:$E$44,3),0)</f>
        <v>0</v>
      </c>
      <c r="I37" s="70">
        <f>IF($B37="*",VLOOKUP($F37,別表第五!$A$3:$E$44,4),0)</f>
        <v>0</v>
      </c>
      <c r="J37" s="68">
        <f>IF($B37="*",VLOOKUP($F37,別表第五!$A$3:$E$44,5),0)</f>
        <v>0</v>
      </c>
      <c r="L37" s="74" t="str">
        <f>技術者!P37</f>
        <v/>
      </c>
      <c r="N37" s="24" t="str">
        <f>IF(L37="","",IF(基本事項!$AM$8=1,$N$3,INT(L37*0.8+G37*0.2)))</f>
        <v/>
      </c>
      <c r="O37" s="37"/>
      <c r="P37" s="33" t="str">
        <f>元請完成工事高!K37</f>
        <v/>
      </c>
      <c r="Q37" s="70" t="str">
        <f t="shared" si="1"/>
        <v/>
      </c>
      <c r="R37" s="70">
        <f>IF($B37="*",VLOOKUP($P37,別表第五!$A$3:$E$44,3),0)</f>
        <v>0</v>
      </c>
      <c r="S37" s="70">
        <f>IF($B37="*",VLOOKUP($P37,別表第五!$A$3:$E$44,4),0)</f>
        <v>0</v>
      </c>
      <c r="T37" s="68">
        <f>IF($B37="*",VLOOKUP($P37,別表第五!$A$3:$E$44,5),0)</f>
        <v>0</v>
      </c>
      <c r="V37" s="74" t="str">
        <f>技術者!P37</f>
        <v/>
      </c>
      <c r="X37" s="24" t="str">
        <f>IF(V37="","",IF(基本事項!$AM$8=1,$N$3,INT(V37*0.8+Q37*0.2)))</f>
        <v/>
      </c>
    </row>
    <row r="38" spans="2:24" ht="12" customHeight="1" x14ac:dyDescent="0.15">
      <c r="B38" s="16" t="str">
        <f>完成工事高!B38</f>
        <v/>
      </c>
      <c r="C38" s="730" t="s">
        <v>533</v>
      </c>
      <c r="D38" s="730"/>
      <c r="E38" s="37"/>
      <c r="F38" s="33" t="str">
        <f>元請完成工事高!J38</f>
        <v/>
      </c>
      <c r="G38" s="70" t="str">
        <f t="shared" si="0"/>
        <v/>
      </c>
      <c r="H38" s="70">
        <f>IF($B38="*",VLOOKUP($F38,別表第五!$A$3:$E$44,3),0)</f>
        <v>0</v>
      </c>
      <c r="I38" s="70">
        <f>IF($B38="*",VLOOKUP($F38,別表第五!$A$3:$E$44,4),0)</f>
        <v>0</v>
      </c>
      <c r="J38" s="68">
        <f>IF($B38="*",VLOOKUP($F38,別表第五!$A$3:$E$44,5),0)</f>
        <v>0</v>
      </c>
      <c r="L38" s="74" t="str">
        <f>技術者!P38</f>
        <v/>
      </c>
      <c r="N38" s="24" t="str">
        <f>IF(L38="","",IF(基本事項!$AM$8=1,$N$3,INT(L38*0.8+G38*0.2)))</f>
        <v/>
      </c>
      <c r="O38" s="37"/>
      <c r="P38" s="33" t="str">
        <f>元請完成工事高!K38</f>
        <v/>
      </c>
      <c r="Q38" s="70" t="str">
        <f t="shared" si="1"/>
        <v/>
      </c>
      <c r="R38" s="70">
        <f>IF($B38="*",VLOOKUP($P38,別表第五!$A$3:$E$44,3),0)</f>
        <v>0</v>
      </c>
      <c r="S38" s="70">
        <f>IF($B38="*",VLOOKUP($P38,別表第五!$A$3:$E$44,4),0)</f>
        <v>0</v>
      </c>
      <c r="T38" s="68">
        <f>IF($B38="*",VLOOKUP($P38,別表第五!$A$3:$E$44,5),0)</f>
        <v>0</v>
      </c>
      <c r="V38" s="74" t="str">
        <f>技術者!P38</f>
        <v/>
      </c>
      <c r="X38" s="24" t="str">
        <f>IF(V38="","",IF(基本事項!$AM$8=1,$N$3,INT(V38*0.8+Q38*0.2)))</f>
        <v/>
      </c>
    </row>
    <row r="39" spans="2:24" ht="12" customHeight="1" x14ac:dyDescent="0.15">
      <c r="B39" s="16"/>
      <c r="C39" s="730" t="s">
        <v>47</v>
      </c>
      <c r="D39" s="730"/>
      <c r="E39" s="37"/>
      <c r="F39" s="33" t="str">
        <f>元請完成工事高!J39</f>
        <v/>
      </c>
      <c r="G39" s="70" t="str">
        <f t="shared" si="0"/>
        <v/>
      </c>
      <c r="H39" s="70">
        <f>IF($B39="*",VLOOKUP($F39,別表第五!$A$3:$E$44,3),0)</f>
        <v>0</v>
      </c>
      <c r="I39" s="70">
        <f>IF($B39="*",VLOOKUP($F39,別表第五!$A$3:$E$44,4),0)</f>
        <v>0</v>
      </c>
      <c r="J39" s="68">
        <f>IF($B39="*",VLOOKUP($F39,別表第五!$A$3:$E$44,5),0)</f>
        <v>0</v>
      </c>
      <c r="L39" s="74">
        <f>技術者!P39</f>
        <v>0</v>
      </c>
      <c r="N39" s="24">
        <f>IF(L39="","",IF(基本事項!$AM$8=1,$N$3,INT(L39*0.8+G39*0.2)))</f>
        <v>456</v>
      </c>
      <c r="O39" s="37"/>
      <c r="P39" s="33" t="str">
        <f>元請完成工事高!K39</f>
        <v/>
      </c>
      <c r="Q39" s="70" t="str">
        <f t="shared" si="1"/>
        <v/>
      </c>
      <c r="R39" s="70">
        <f>IF($B39="*",VLOOKUP($P39,別表第五!$A$3:$E$44,3),0)</f>
        <v>0</v>
      </c>
      <c r="S39" s="70">
        <f>IF($B39="*",VLOOKUP($P39,別表第五!$A$3:$E$44,4),0)</f>
        <v>0</v>
      </c>
      <c r="T39" s="68">
        <f>IF($B39="*",VLOOKUP($P39,別表第五!$A$3:$E$44,5),0)</f>
        <v>0</v>
      </c>
      <c r="V39" s="74">
        <f>技術者!P39</f>
        <v>0</v>
      </c>
      <c r="X39" s="24">
        <f>IF(V39="","",IF(基本事項!$AM$8=1,$N$3,INT(V39*0.8+Q39*0.2)))</f>
        <v>456</v>
      </c>
    </row>
    <row r="40" spans="2:24" ht="12" customHeight="1" x14ac:dyDescent="0.15">
      <c r="B40" s="16"/>
      <c r="C40" s="730" t="s">
        <v>114</v>
      </c>
      <c r="D40" s="730"/>
      <c r="E40" s="37"/>
      <c r="F40" s="33">
        <f>元請完成工事高!J40</f>
        <v>218065</v>
      </c>
      <c r="O40" s="37"/>
      <c r="P40" s="33">
        <f>元請完成工事高!K40</f>
        <v>193477</v>
      </c>
    </row>
  </sheetData>
  <sheetProtection algorithmName="SHA-512" hashValue="3oJuMHkxnPgtANa/nnZgKFOKsIKwE5c0HzdHD9ygNsbk7iWkcl+D8lv4XZoQaVZYy62+liJlrpL/Z+Nm31dItQ==" saltValue="ltBCkFFkh2TT9eKjw9xoVQ==" spinCount="100000" sheet="1" selectLockedCells="1" selectUnlockedCells="1"/>
  <mergeCells count="40">
    <mergeCell ref="B5:D6"/>
    <mergeCell ref="C10:D10"/>
    <mergeCell ref="C13:D13"/>
    <mergeCell ref="P5:P6"/>
    <mergeCell ref="Q5:T5"/>
    <mergeCell ref="G5:J5"/>
    <mergeCell ref="F5:F6"/>
    <mergeCell ref="C7:D7"/>
    <mergeCell ref="C8:D8"/>
    <mergeCell ref="C9:D9"/>
    <mergeCell ref="A23:A25"/>
    <mergeCell ref="C25:D25"/>
    <mergeCell ref="C24:D24"/>
    <mergeCell ref="C11:D11"/>
    <mergeCell ref="C23:D23"/>
    <mergeCell ref="C20:D20"/>
    <mergeCell ref="C12:D12"/>
    <mergeCell ref="C14:D14"/>
    <mergeCell ref="C16:D16"/>
    <mergeCell ref="C22:D22"/>
    <mergeCell ref="C18:D18"/>
    <mergeCell ref="C21:D21"/>
    <mergeCell ref="C17:D17"/>
    <mergeCell ref="C15:D15"/>
    <mergeCell ref="C19:D19"/>
    <mergeCell ref="C40:D40"/>
    <mergeCell ref="C29:D29"/>
    <mergeCell ref="C37:D37"/>
    <mergeCell ref="C30:D30"/>
    <mergeCell ref="C31:D31"/>
    <mergeCell ref="C36:D36"/>
    <mergeCell ref="C34:D34"/>
    <mergeCell ref="C26:D26"/>
    <mergeCell ref="C35:D35"/>
    <mergeCell ref="C28:D28"/>
    <mergeCell ref="C27:D27"/>
    <mergeCell ref="C39:D39"/>
    <mergeCell ref="C33:D33"/>
    <mergeCell ref="C38:D38"/>
    <mergeCell ref="C32:D32"/>
  </mergeCells>
  <phoneticPr fontId="2"/>
  <pageMargins left="0.78740157480314965" right="0.19685039370078741" top="0.39370078740157483" bottom="0" header="0" footer="0"/>
  <pageSetup paperSize="9" scale="77"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4">
    <tabColor indexed="46"/>
    <pageSetUpPr autoPageBreaks="0" fitToPage="1"/>
  </sheetPr>
  <dimension ref="A2:J41"/>
  <sheetViews>
    <sheetView workbookViewId="0"/>
  </sheetViews>
  <sheetFormatPr defaultColWidth="2.625" defaultRowHeight="12" customHeight="1" x14ac:dyDescent="0.15"/>
  <cols>
    <col min="1" max="1" width="2.125" style="24" customWidth="1"/>
    <col min="2" max="2" width="8.625" style="24" customWidth="1"/>
    <col min="3" max="3" width="4.625" style="24" customWidth="1"/>
    <col min="4" max="4" width="12.625" style="24" customWidth="1"/>
    <col min="5" max="5" width="2.125" style="24" customWidth="1"/>
    <col min="6" max="6" width="13.625" style="24" customWidth="1"/>
    <col min="7" max="7" width="12.625" style="68" customWidth="1"/>
    <col min="8" max="8" width="8.625" style="68" customWidth="1"/>
    <col min="9" max="9" width="10.625" style="68" customWidth="1"/>
    <col min="10" max="10" width="7.625" style="68" customWidth="1"/>
    <col min="11" max="16384" width="2.625" style="24"/>
  </cols>
  <sheetData>
    <row r="2" spans="2:10" ht="12" customHeight="1" x14ac:dyDescent="0.15">
      <c r="B2" s="1" t="s">
        <v>544</v>
      </c>
      <c r="C2" s="1"/>
      <c r="D2" s="1"/>
      <c r="E2" s="1"/>
      <c r="F2" s="254" t="s">
        <v>27</v>
      </c>
      <c r="G2" s="70">
        <v>2335</v>
      </c>
    </row>
    <row r="3" spans="2:10" ht="12" customHeight="1" x14ac:dyDescent="0.15">
      <c r="B3" s="16"/>
      <c r="C3" s="1"/>
      <c r="D3" s="1"/>
      <c r="E3" s="1"/>
      <c r="F3" s="254" t="s">
        <v>198</v>
      </c>
      <c r="G3" s="70">
        <v>510</v>
      </c>
    </row>
    <row r="4" spans="2:10" ht="12" customHeight="1" x14ac:dyDescent="0.15">
      <c r="B4" s="16"/>
      <c r="C4" s="1"/>
      <c r="D4" s="1"/>
      <c r="E4" s="1"/>
    </row>
    <row r="5" spans="2:10" ht="12" customHeight="1" x14ac:dyDescent="0.15">
      <c r="B5" s="419"/>
      <c r="C5" s="419"/>
      <c r="D5" s="419"/>
      <c r="E5" s="16"/>
      <c r="F5" s="419" t="s">
        <v>39</v>
      </c>
      <c r="G5" s="731"/>
      <c r="H5" s="732"/>
      <c r="I5" s="732"/>
      <c r="J5" s="732"/>
    </row>
    <row r="6" spans="2:10" ht="12" customHeight="1" x14ac:dyDescent="0.15">
      <c r="B6" s="419"/>
      <c r="C6" s="419"/>
      <c r="D6" s="419"/>
      <c r="E6" s="16"/>
      <c r="F6" s="419"/>
      <c r="G6" s="69" t="s">
        <v>535</v>
      </c>
      <c r="H6" s="69" t="s">
        <v>128</v>
      </c>
      <c r="I6" s="69" t="s">
        <v>127</v>
      </c>
      <c r="J6" s="69" t="s">
        <v>129</v>
      </c>
    </row>
    <row r="7" spans="2:10" ht="12" customHeight="1" x14ac:dyDescent="0.15">
      <c r="B7" s="16" t="str">
        <f>完成工事高!B7</f>
        <v>*</v>
      </c>
      <c r="C7" s="730" t="s">
        <v>48</v>
      </c>
      <c r="D7" s="730"/>
      <c r="E7" s="37"/>
      <c r="F7" s="33">
        <f>技術者!O7</f>
        <v>60</v>
      </c>
      <c r="G7" s="68">
        <f t="shared" ref="G7:G39" si="0">IF(F7="","",IF(F7&gt;=15500,$G$2,IF(AND(H7=0,I7=0,J7=0),0,INT(H7*$F7/I7+J7))))</f>
        <v>990</v>
      </c>
      <c r="H7" s="70">
        <f>IF($B7="*",VLOOKUP($F7,別表第四!$A$3:$E$44,3),0)</f>
        <v>62</v>
      </c>
      <c r="I7" s="70">
        <f>IF($B7="*",VLOOKUP($F7,別表第四!$A$3:$E$44,4),0)</f>
        <v>15</v>
      </c>
      <c r="J7" s="68">
        <f>IF($B7="*",VLOOKUP($F7,別表第四!$A$3:$E$44,5),0)</f>
        <v>742</v>
      </c>
    </row>
    <row r="8" spans="2:10" ht="12" customHeight="1" x14ac:dyDescent="0.15">
      <c r="B8" s="16" t="str">
        <f>B7</f>
        <v>*</v>
      </c>
      <c r="C8" s="730" t="s">
        <v>429</v>
      </c>
      <c r="D8" s="730"/>
      <c r="E8" s="37"/>
      <c r="F8" s="33">
        <f>技術者!O8</f>
        <v>0</v>
      </c>
      <c r="G8" s="68">
        <f t="shared" si="0"/>
        <v>0</v>
      </c>
      <c r="H8" s="70"/>
      <c r="I8" s="70"/>
    </row>
    <row r="9" spans="2:10" ht="12" customHeight="1" x14ac:dyDescent="0.15">
      <c r="B9" s="16" t="str">
        <f>完成工事高!B9</f>
        <v>*</v>
      </c>
      <c r="C9" s="730" t="s">
        <v>53</v>
      </c>
      <c r="D9" s="730"/>
      <c r="E9" s="37"/>
      <c r="F9" s="33">
        <f>技術者!O9</f>
        <v>2</v>
      </c>
      <c r="G9" s="68">
        <f t="shared" si="0"/>
        <v>534</v>
      </c>
      <c r="H9" s="70">
        <f>IF($B9="*",VLOOKUP($F9,別表第四!$A$3:$E$44,3),0)</f>
        <v>62</v>
      </c>
      <c r="I9" s="70">
        <f>IF($B9="*",VLOOKUP($F9,別表第四!$A$3:$E$44,4),0)</f>
        <v>5</v>
      </c>
      <c r="J9" s="68">
        <f>IF($B9="*",VLOOKUP($F9,別表第四!$A$3:$E$44,5),0)</f>
        <v>510</v>
      </c>
    </row>
    <row r="10" spans="2:10" ht="12" customHeight="1" x14ac:dyDescent="0.15">
      <c r="B10" s="16" t="str">
        <f>完成工事高!B10</f>
        <v/>
      </c>
      <c r="C10" s="730" t="s">
        <v>54</v>
      </c>
      <c r="D10" s="730"/>
      <c r="E10" s="37"/>
      <c r="F10" s="33" t="str">
        <f>技術者!O10</f>
        <v/>
      </c>
      <c r="G10" s="68" t="str">
        <f t="shared" si="0"/>
        <v/>
      </c>
      <c r="H10" s="70">
        <f>IF($B10="*",VLOOKUP($F10,別表第四!$A$3:$E$44,3),0)</f>
        <v>0</v>
      </c>
      <c r="I10" s="70">
        <f>IF($B10="*",VLOOKUP($F10,別表第四!$A$3:$E$44,4),0)</f>
        <v>0</v>
      </c>
      <c r="J10" s="68">
        <f>IF($B10="*",VLOOKUP($F10,別表第四!$A$3:$E$44,5),0)</f>
        <v>0</v>
      </c>
    </row>
    <row r="11" spans="2:10" ht="12" customHeight="1" x14ac:dyDescent="0.15">
      <c r="B11" s="16" t="str">
        <f>完成工事高!B11</f>
        <v/>
      </c>
      <c r="C11" s="730" t="s">
        <v>56</v>
      </c>
      <c r="D11" s="730"/>
      <c r="E11" s="37"/>
      <c r="F11" s="33" t="str">
        <f>技術者!O11</f>
        <v/>
      </c>
      <c r="G11" s="68" t="str">
        <f t="shared" si="0"/>
        <v/>
      </c>
      <c r="H11" s="70">
        <f>IF($B11="*",VLOOKUP($F11,別表第四!$A$3:$E$44,3),0)</f>
        <v>0</v>
      </c>
      <c r="I11" s="70">
        <f>IF($B11="*",VLOOKUP($F11,別表第四!$A$3:$E$44,4),0)</f>
        <v>0</v>
      </c>
      <c r="J11" s="68">
        <f>IF($B11="*",VLOOKUP($F11,別表第四!$A$3:$E$44,5),0)</f>
        <v>0</v>
      </c>
    </row>
    <row r="12" spans="2:10" ht="12" customHeight="1" x14ac:dyDescent="0.15">
      <c r="B12" s="16" t="str">
        <f>完成工事高!B12</f>
        <v>*</v>
      </c>
      <c r="C12" s="733" t="s">
        <v>58</v>
      </c>
      <c r="D12" s="733"/>
      <c r="E12" s="253"/>
      <c r="F12" s="33">
        <f>技術者!O12</f>
        <v>49</v>
      </c>
      <c r="G12" s="68">
        <f t="shared" si="0"/>
        <v>941</v>
      </c>
      <c r="H12" s="70">
        <f>IF($B12="*",VLOOKUP($F12,別表第四!$A$3:$E$44,3),0)</f>
        <v>63</v>
      </c>
      <c r="I12" s="70">
        <f>IF($B12="*",VLOOKUP($F12,別表第四!$A$3:$E$44,4),0)</f>
        <v>10</v>
      </c>
      <c r="J12" s="68">
        <f>IF($B12="*",VLOOKUP($F12,別表第四!$A$3:$E$44,5),0)</f>
        <v>633</v>
      </c>
    </row>
    <row r="13" spans="2:10" ht="12" customHeight="1" x14ac:dyDescent="0.15">
      <c r="B13" s="16" t="str">
        <f>B12</f>
        <v>*</v>
      </c>
      <c r="C13" s="730" t="s">
        <v>59</v>
      </c>
      <c r="D13" s="730"/>
      <c r="E13" s="37"/>
      <c r="F13" s="33">
        <f>技術者!O13</f>
        <v>0</v>
      </c>
      <c r="G13" s="68">
        <f t="shared" si="0"/>
        <v>0</v>
      </c>
      <c r="H13" s="70"/>
      <c r="I13" s="70"/>
    </row>
    <row r="14" spans="2:10" ht="12" customHeight="1" x14ac:dyDescent="0.15">
      <c r="B14" s="16" t="str">
        <f>完成工事高!B14</f>
        <v/>
      </c>
      <c r="C14" s="730" t="s">
        <v>61</v>
      </c>
      <c r="D14" s="730"/>
      <c r="E14" s="37"/>
      <c r="F14" s="33" t="str">
        <f>技術者!O14</f>
        <v/>
      </c>
      <c r="G14" s="68" t="str">
        <f t="shared" si="0"/>
        <v/>
      </c>
      <c r="H14" s="70">
        <f>IF($B14="*",VLOOKUP($F14,別表第四!$A$3:$E$44,3),0)</f>
        <v>0</v>
      </c>
      <c r="I14" s="70">
        <f>IF($B14="*",VLOOKUP($F14,別表第四!$A$3:$E$44,4),0)</f>
        <v>0</v>
      </c>
      <c r="J14" s="68">
        <f>IF($B14="*",VLOOKUP($F14,別表第四!$A$3:$E$44,5),0)</f>
        <v>0</v>
      </c>
    </row>
    <row r="15" spans="2:10" ht="12" customHeight="1" x14ac:dyDescent="0.15">
      <c r="B15" s="16" t="str">
        <f>完成工事高!B15</f>
        <v/>
      </c>
      <c r="C15" s="730" t="s">
        <v>62</v>
      </c>
      <c r="D15" s="730"/>
      <c r="E15" s="37"/>
      <c r="F15" s="33" t="str">
        <f>技術者!O15</f>
        <v/>
      </c>
      <c r="G15" s="68" t="str">
        <f t="shared" si="0"/>
        <v/>
      </c>
      <c r="H15" s="70">
        <f>IF($B15="*",VLOOKUP($F15,別表第四!$A$3:$E$44,3),0)</f>
        <v>0</v>
      </c>
      <c r="I15" s="70">
        <f>IF($B15="*",VLOOKUP($F15,別表第四!$A$3:$E$44,4),0)</f>
        <v>0</v>
      </c>
      <c r="J15" s="68">
        <f>IF($B15="*",VLOOKUP($F15,別表第四!$A$3:$E$44,5),0)</f>
        <v>0</v>
      </c>
    </row>
    <row r="16" spans="2:10" ht="12" customHeight="1" x14ac:dyDescent="0.15">
      <c r="B16" s="16" t="str">
        <f>完成工事高!B16</f>
        <v/>
      </c>
      <c r="C16" s="730" t="s">
        <v>64</v>
      </c>
      <c r="D16" s="730"/>
      <c r="E16" s="37"/>
      <c r="F16" s="33" t="str">
        <f>技術者!O16</f>
        <v/>
      </c>
      <c r="G16" s="68" t="str">
        <f t="shared" si="0"/>
        <v/>
      </c>
      <c r="H16" s="70">
        <f>IF($B16="*",VLOOKUP($F16,別表第四!$A$3:$E$44,3),0)</f>
        <v>0</v>
      </c>
      <c r="I16" s="70">
        <f>IF($B16="*",VLOOKUP($F16,別表第四!$A$3:$E$44,4),0)</f>
        <v>0</v>
      </c>
      <c r="J16" s="68">
        <f>IF($B16="*",VLOOKUP($F16,別表第四!$A$3:$E$44,5),0)</f>
        <v>0</v>
      </c>
    </row>
    <row r="17" spans="1:10" s="71" customFormat="1" ht="12" customHeight="1" x14ac:dyDescent="0.15">
      <c r="B17" s="16" t="str">
        <f>完成工事高!B17</f>
        <v/>
      </c>
      <c r="C17" s="730" t="s">
        <v>65</v>
      </c>
      <c r="D17" s="730"/>
      <c r="E17" s="37"/>
      <c r="F17" s="33" t="str">
        <f>技術者!O17</f>
        <v/>
      </c>
      <c r="G17" s="68" t="str">
        <f t="shared" si="0"/>
        <v/>
      </c>
      <c r="H17" s="70">
        <f>IF($B17="*",VLOOKUP($F17,別表第四!$A$3:$E$44,3),0)</f>
        <v>0</v>
      </c>
      <c r="I17" s="70">
        <f>IF($B17="*",VLOOKUP($F17,別表第四!$A$3:$E$44,4),0)</f>
        <v>0</v>
      </c>
      <c r="J17" s="68">
        <f>IF($B17="*",VLOOKUP($F17,別表第四!$A$3:$E$44,5),0)</f>
        <v>0</v>
      </c>
    </row>
    <row r="18" spans="1:10" ht="12" customHeight="1" x14ac:dyDescent="0.15">
      <c r="A18" s="72"/>
      <c r="B18" s="16" t="str">
        <f>完成工事高!B18</f>
        <v/>
      </c>
      <c r="C18" s="733" t="s">
        <v>430</v>
      </c>
      <c r="D18" s="733"/>
      <c r="E18" s="253"/>
      <c r="F18" s="33" t="str">
        <f>技術者!O18</f>
        <v/>
      </c>
      <c r="G18" s="68" t="str">
        <f t="shared" si="0"/>
        <v/>
      </c>
      <c r="H18" s="70">
        <f>IF($B18="*",VLOOKUP($F18,別表第四!$A$3:$E$44,3),0)</f>
        <v>0</v>
      </c>
      <c r="I18" s="70">
        <f>IF($B18="*",VLOOKUP($F18,別表第四!$A$3:$E$44,4),0)</f>
        <v>0</v>
      </c>
      <c r="J18" s="68">
        <f>IF($B18="*",VLOOKUP($F18,別表第四!$A$3:$E$44,5),0)</f>
        <v>0</v>
      </c>
    </row>
    <row r="19" spans="1:10" ht="12" customHeight="1" x14ac:dyDescent="0.15">
      <c r="A19" s="72"/>
      <c r="B19" s="16" t="str">
        <f>完成工事高!B19</f>
        <v/>
      </c>
      <c r="C19" s="730" t="s">
        <v>67</v>
      </c>
      <c r="D19" s="730"/>
      <c r="E19" s="37"/>
      <c r="F19" s="33" t="str">
        <f>技術者!O19</f>
        <v/>
      </c>
      <c r="G19" s="68" t="str">
        <f t="shared" si="0"/>
        <v/>
      </c>
      <c r="H19" s="70">
        <f>IF($B19="*",VLOOKUP($F19,別表第四!$A$3:$E$44,3),0)</f>
        <v>0</v>
      </c>
      <c r="I19" s="70">
        <f>IF($B19="*",VLOOKUP($F19,別表第四!$A$3:$E$44,4),0)</f>
        <v>0</v>
      </c>
      <c r="J19" s="68">
        <f>IF($B19="*",VLOOKUP($F19,別表第四!$A$3:$E$44,5),0)</f>
        <v>0</v>
      </c>
    </row>
    <row r="20" spans="1:10" ht="12" customHeight="1" x14ac:dyDescent="0.15">
      <c r="B20" s="16" t="str">
        <f>B19</f>
        <v/>
      </c>
      <c r="C20" s="730" t="s">
        <v>70</v>
      </c>
      <c r="D20" s="730"/>
      <c r="E20" s="37"/>
      <c r="F20" s="33">
        <f>技術者!O20</f>
        <v>0</v>
      </c>
      <c r="G20" s="68">
        <f t="shared" si="0"/>
        <v>0</v>
      </c>
      <c r="H20" s="70"/>
      <c r="I20" s="70"/>
    </row>
    <row r="21" spans="1:10" ht="12" customHeight="1" x14ac:dyDescent="0.15">
      <c r="B21" s="16" t="str">
        <f>完成工事高!B21</f>
        <v/>
      </c>
      <c r="C21" s="730" t="s">
        <v>71</v>
      </c>
      <c r="D21" s="730"/>
      <c r="E21" s="37"/>
      <c r="F21" s="33" t="str">
        <f>技術者!O21</f>
        <v/>
      </c>
      <c r="G21" s="68" t="str">
        <f t="shared" si="0"/>
        <v/>
      </c>
      <c r="H21" s="70">
        <f>IF($B21="*",VLOOKUP($F21,別表第四!$A$3:$E$44,3),0)</f>
        <v>0</v>
      </c>
      <c r="I21" s="70">
        <f>IF($B21="*",VLOOKUP($F21,別表第四!$A$3:$E$44,4),0)</f>
        <v>0</v>
      </c>
      <c r="J21" s="68">
        <f>IF($B21="*",VLOOKUP($F21,別表第四!$A$3:$E$44,5),0)</f>
        <v>0</v>
      </c>
    </row>
    <row r="22" spans="1:10" ht="12" customHeight="1" x14ac:dyDescent="0.15">
      <c r="B22" s="16" t="str">
        <f>完成工事高!B22</f>
        <v/>
      </c>
      <c r="C22" s="730" t="s">
        <v>549</v>
      </c>
      <c r="D22" s="730"/>
      <c r="E22" s="37"/>
      <c r="F22" s="33" t="str">
        <f>技術者!O22</f>
        <v/>
      </c>
      <c r="G22" s="68" t="str">
        <f t="shared" si="0"/>
        <v/>
      </c>
      <c r="H22" s="70">
        <f>IF($B22="*",VLOOKUP($F22,別表第四!$A$3:$E$44,3),0)</f>
        <v>0</v>
      </c>
      <c r="I22" s="70">
        <f>IF($B22="*",VLOOKUP($F22,別表第四!$A$3:$E$44,4),0)</f>
        <v>0</v>
      </c>
      <c r="J22" s="68">
        <f>IF($B22="*",VLOOKUP($F22,別表第四!$A$3:$E$44,5),0)</f>
        <v>0</v>
      </c>
    </row>
    <row r="23" spans="1:10" ht="12" customHeight="1" x14ac:dyDescent="0.15">
      <c r="A23" s="728"/>
      <c r="B23" s="16" t="str">
        <f>完成工事高!B23</f>
        <v/>
      </c>
      <c r="C23" s="730" t="s">
        <v>431</v>
      </c>
      <c r="D23" s="730"/>
      <c r="E23" s="37"/>
      <c r="F23" s="33" t="str">
        <f>技術者!O23</f>
        <v/>
      </c>
      <c r="G23" s="68" t="str">
        <f t="shared" si="0"/>
        <v/>
      </c>
      <c r="H23" s="70">
        <f>IF($B23="*",VLOOKUP($F23,別表第四!$A$3:$E$44,3),0)</f>
        <v>0</v>
      </c>
      <c r="I23" s="70">
        <f>IF($B23="*",VLOOKUP($F23,別表第四!$A$3:$E$44,4),0)</f>
        <v>0</v>
      </c>
      <c r="J23" s="68">
        <f>IF($B23="*",VLOOKUP($F23,別表第四!$A$3:$E$44,5),0)</f>
        <v>0</v>
      </c>
    </row>
    <row r="24" spans="1:10" ht="12" customHeight="1" x14ac:dyDescent="0.15">
      <c r="A24" s="728"/>
      <c r="B24" s="16" t="str">
        <f>完成工事高!B24</f>
        <v/>
      </c>
      <c r="C24" s="730" t="s">
        <v>72</v>
      </c>
      <c r="D24" s="730"/>
      <c r="E24" s="37"/>
      <c r="F24" s="33" t="str">
        <f>技術者!O24</f>
        <v/>
      </c>
      <c r="G24" s="68" t="str">
        <f t="shared" si="0"/>
        <v/>
      </c>
      <c r="H24" s="70">
        <f>IF($B24="*",VLOOKUP($F24,別表第四!$A$3:$E$44,3),0)</f>
        <v>0</v>
      </c>
      <c r="I24" s="70">
        <f>IF($B24="*",VLOOKUP($F24,別表第四!$A$3:$E$44,4),0)</f>
        <v>0</v>
      </c>
      <c r="J24" s="68">
        <f>IF($B24="*",VLOOKUP($F24,別表第四!$A$3:$E$44,5),0)</f>
        <v>0</v>
      </c>
    </row>
    <row r="25" spans="1:10" ht="12" customHeight="1" x14ac:dyDescent="0.15">
      <c r="A25" s="729"/>
      <c r="B25" s="16" t="str">
        <f>完成工事高!B25</f>
        <v/>
      </c>
      <c r="C25" s="730" t="s">
        <v>432</v>
      </c>
      <c r="D25" s="730"/>
      <c r="E25" s="37"/>
      <c r="F25" s="33" t="str">
        <f>技術者!O25</f>
        <v/>
      </c>
      <c r="G25" s="68" t="str">
        <f t="shared" si="0"/>
        <v/>
      </c>
      <c r="H25" s="70">
        <f>IF($B25="*",VLOOKUP($F25,別表第四!$A$3:$E$44,3),0)</f>
        <v>0</v>
      </c>
      <c r="I25" s="70">
        <f>IF($B25="*",VLOOKUP($F25,別表第四!$A$3:$E$44,4),0)</f>
        <v>0</v>
      </c>
      <c r="J25" s="68">
        <f>IF($B25="*",VLOOKUP($F25,別表第四!$A$3:$E$44,5),0)</f>
        <v>0</v>
      </c>
    </row>
    <row r="26" spans="1:10" ht="12" customHeight="1" x14ac:dyDescent="0.15">
      <c r="B26" s="16" t="str">
        <f>完成工事高!B26</f>
        <v/>
      </c>
      <c r="C26" s="730" t="s">
        <v>73</v>
      </c>
      <c r="D26" s="730"/>
      <c r="E26" s="37"/>
      <c r="F26" s="33" t="str">
        <f>技術者!O26</f>
        <v/>
      </c>
      <c r="G26" s="68" t="str">
        <f t="shared" si="0"/>
        <v/>
      </c>
      <c r="H26" s="70">
        <f>IF($B26="*",VLOOKUP($F26,別表第四!$A$3:$E$44,3),0)</f>
        <v>0</v>
      </c>
      <c r="I26" s="70">
        <f>IF($B26="*",VLOOKUP($F26,別表第四!$A$3:$E$44,4),0)</f>
        <v>0</v>
      </c>
      <c r="J26" s="68">
        <f>IF($B26="*",VLOOKUP($F26,別表第四!$A$3:$E$44,5),0)</f>
        <v>0</v>
      </c>
    </row>
    <row r="27" spans="1:10" ht="12" customHeight="1" x14ac:dyDescent="0.15">
      <c r="B27" s="16" t="str">
        <f>完成工事高!B27</f>
        <v/>
      </c>
      <c r="C27" s="730" t="s">
        <v>76</v>
      </c>
      <c r="D27" s="730"/>
      <c r="E27" s="37"/>
      <c r="F27" s="33" t="str">
        <f>技術者!O27</f>
        <v/>
      </c>
      <c r="G27" s="68" t="str">
        <f t="shared" si="0"/>
        <v/>
      </c>
      <c r="H27" s="70">
        <f>IF($B27="*",VLOOKUP($F27,別表第四!$A$3:$E$44,3),0)</f>
        <v>0</v>
      </c>
      <c r="I27" s="70">
        <f>IF($B27="*",VLOOKUP($F27,別表第四!$A$3:$E$44,4),0)</f>
        <v>0</v>
      </c>
      <c r="J27" s="68">
        <f>IF($B27="*",VLOOKUP($F27,別表第四!$A$3:$E$44,5),0)</f>
        <v>0</v>
      </c>
    </row>
    <row r="28" spans="1:10" ht="12" customHeight="1" x14ac:dyDescent="0.15">
      <c r="B28" s="16" t="str">
        <f>完成工事高!B28</f>
        <v/>
      </c>
      <c r="C28" s="730" t="s">
        <v>77</v>
      </c>
      <c r="D28" s="730"/>
      <c r="E28" s="37"/>
      <c r="F28" s="33" t="str">
        <f>技術者!O28</f>
        <v/>
      </c>
      <c r="G28" s="68" t="str">
        <f t="shared" si="0"/>
        <v/>
      </c>
      <c r="H28" s="70">
        <f>IF($B28="*",VLOOKUP($F28,別表第四!$A$3:$E$44,3),0)</f>
        <v>0</v>
      </c>
      <c r="I28" s="70">
        <f>IF($B28="*",VLOOKUP($F28,別表第四!$A$3:$E$44,4),0)</f>
        <v>0</v>
      </c>
      <c r="J28" s="68">
        <f>IF($B28="*",VLOOKUP($F28,別表第四!$A$3:$E$44,5),0)</f>
        <v>0</v>
      </c>
    </row>
    <row r="29" spans="1:10" ht="12" customHeight="1" x14ac:dyDescent="0.15">
      <c r="B29" s="16" t="str">
        <f>完成工事高!B29</f>
        <v/>
      </c>
      <c r="C29" s="730" t="s">
        <v>78</v>
      </c>
      <c r="D29" s="730"/>
      <c r="E29" s="37"/>
      <c r="F29" s="33" t="str">
        <f>技術者!O29</f>
        <v/>
      </c>
      <c r="G29" s="68" t="str">
        <f t="shared" si="0"/>
        <v/>
      </c>
      <c r="H29" s="70">
        <f>IF($B29="*",VLOOKUP($F29,別表第四!$A$3:$E$44,3),0)</f>
        <v>0</v>
      </c>
      <c r="I29" s="70">
        <f>IF($B29="*",VLOOKUP($F29,別表第四!$A$3:$E$44,4),0)</f>
        <v>0</v>
      </c>
      <c r="J29" s="68">
        <f>IF($B29="*",VLOOKUP($F29,別表第四!$A$3:$E$44,5),0)</f>
        <v>0</v>
      </c>
    </row>
    <row r="30" spans="1:10" ht="12" customHeight="1" x14ac:dyDescent="0.15">
      <c r="B30" s="16" t="str">
        <f>完成工事高!B30</f>
        <v/>
      </c>
      <c r="C30" s="730" t="s">
        <v>79</v>
      </c>
      <c r="D30" s="730"/>
      <c r="E30" s="37"/>
      <c r="F30" s="33" t="str">
        <f>技術者!O30</f>
        <v/>
      </c>
      <c r="G30" s="68" t="str">
        <f t="shared" si="0"/>
        <v/>
      </c>
      <c r="H30" s="70">
        <f>IF($B30="*",VLOOKUP($F30,別表第四!$A$3:$E$44,3),0)</f>
        <v>0</v>
      </c>
      <c r="I30" s="70">
        <f>IF($B30="*",VLOOKUP($F30,別表第四!$A$3:$E$44,4),0)</f>
        <v>0</v>
      </c>
      <c r="J30" s="68">
        <f>IF($B30="*",VLOOKUP($F30,別表第四!$A$3:$E$44,5),0)</f>
        <v>0</v>
      </c>
    </row>
    <row r="31" spans="1:10" ht="12" customHeight="1" x14ac:dyDescent="0.15">
      <c r="B31" s="16" t="str">
        <f>完成工事高!B31</f>
        <v/>
      </c>
      <c r="C31" s="730" t="s">
        <v>80</v>
      </c>
      <c r="D31" s="730"/>
      <c r="E31" s="37"/>
      <c r="F31" s="33" t="str">
        <f>技術者!O31</f>
        <v/>
      </c>
      <c r="G31" s="68" t="str">
        <f t="shared" si="0"/>
        <v/>
      </c>
      <c r="H31" s="70">
        <f>IF($B31="*",VLOOKUP($F31,別表第四!$A$3:$E$44,3),0)</f>
        <v>0</v>
      </c>
      <c r="I31" s="70">
        <f>IF($B31="*",VLOOKUP($F31,別表第四!$A$3:$E$44,4),0)</f>
        <v>0</v>
      </c>
      <c r="J31" s="68">
        <f>IF($B31="*",VLOOKUP($F31,別表第四!$A$3:$E$44,5),0)</f>
        <v>0</v>
      </c>
    </row>
    <row r="32" spans="1:10" ht="12" customHeight="1" x14ac:dyDescent="0.15">
      <c r="B32" s="16" t="str">
        <f>完成工事高!B32</f>
        <v/>
      </c>
      <c r="C32" s="730" t="s">
        <v>1</v>
      </c>
      <c r="D32" s="730"/>
      <c r="E32" s="37"/>
      <c r="F32" s="33" t="str">
        <f>技術者!O32</f>
        <v/>
      </c>
      <c r="G32" s="68" t="str">
        <f t="shared" si="0"/>
        <v/>
      </c>
      <c r="H32" s="70">
        <f>IF($B32="*",VLOOKUP($F32,別表第四!$A$3:$E$44,3),0)</f>
        <v>0</v>
      </c>
      <c r="I32" s="70">
        <f>IF($B32="*",VLOOKUP($F32,別表第四!$A$3:$E$44,4),0)</f>
        <v>0</v>
      </c>
      <c r="J32" s="68">
        <f>IF($B32="*",VLOOKUP($F32,別表第四!$A$3:$E$44,5),0)</f>
        <v>0</v>
      </c>
    </row>
    <row r="33" spans="2:10" ht="12" customHeight="1" x14ac:dyDescent="0.15">
      <c r="B33" s="16" t="str">
        <f>完成工事高!B33</f>
        <v/>
      </c>
      <c r="C33" s="730" t="s">
        <v>3</v>
      </c>
      <c r="D33" s="730"/>
      <c r="E33" s="37"/>
      <c r="F33" s="33" t="str">
        <f>技術者!O33</f>
        <v/>
      </c>
      <c r="G33" s="68" t="str">
        <f t="shared" si="0"/>
        <v/>
      </c>
      <c r="H33" s="70">
        <f>IF($B33="*",VLOOKUP($F33,別表第四!$A$3:$E$44,3),0)</f>
        <v>0</v>
      </c>
      <c r="I33" s="70">
        <f>IF($B33="*",VLOOKUP($F33,別表第四!$A$3:$E$44,4),0)</f>
        <v>0</v>
      </c>
      <c r="J33" s="68">
        <f>IF($B33="*",VLOOKUP($F33,別表第四!$A$3:$E$44,5),0)</f>
        <v>0</v>
      </c>
    </row>
    <row r="34" spans="2:10" ht="12" customHeight="1" x14ac:dyDescent="0.15">
      <c r="B34" s="16" t="str">
        <f>完成工事高!B34</f>
        <v/>
      </c>
      <c r="C34" s="730" t="s">
        <v>5</v>
      </c>
      <c r="D34" s="730"/>
      <c r="E34" s="37"/>
      <c r="F34" s="33" t="str">
        <f>技術者!O34</f>
        <v/>
      </c>
      <c r="G34" s="68" t="str">
        <f t="shared" si="0"/>
        <v/>
      </c>
      <c r="H34" s="70">
        <f>IF($B34="*",VLOOKUP($F34,別表第四!$A$3:$E$44,3),0)</f>
        <v>0</v>
      </c>
      <c r="I34" s="70">
        <f>IF($B34="*",VLOOKUP($F34,別表第四!$A$3:$E$44,4),0)</f>
        <v>0</v>
      </c>
      <c r="J34" s="68">
        <f>IF($B34="*",VLOOKUP($F34,別表第四!$A$3:$E$44,5),0)</f>
        <v>0</v>
      </c>
    </row>
    <row r="35" spans="2:10" ht="12" customHeight="1" x14ac:dyDescent="0.15">
      <c r="B35" s="16" t="str">
        <f>完成工事高!B35</f>
        <v/>
      </c>
      <c r="C35" s="730" t="s">
        <v>7</v>
      </c>
      <c r="D35" s="730"/>
      <c r="E35" s="37"/>
      <c r="F35" s="33" t="str">
        <f>技術者!O35</f>
        <v/>
      </c>
      <c r="G35" s="68" t="str">
        <f t="shared" si="0"/>
        <v/>
      </c>
      <c r="H35" s="70">
        <f>IF($B35="*",VLOOKUP($F35,別表第四!$A$3:$E$44,3),0)</f>
        <v>0</v>
      </c>
      <c r="I35" s="70">
        <f>IF($B35="*",VLOOKUP($F35,別表第四!$A$3:$E$44,4),0)</f>
        <v>0</v>
      </c>
      <c r="J35" s="68">
        <f>IF($B35="*",VLOOKUP($F35,別表第四!$A$3:$E$44,5),0)</f>
        <v>0</v>
      </c>
    </row>
    <row r="36" spans="2:10" ht="12" customHeight="1" x14ac:dyDescent="0.15">
      <c r="B36" s="16" t="str">
        <f>完成工事高!B36</f>
        <v/>
      </c>
      <c r="C36" s="730" t="s">
        <v>9</v>
      </c>
      <c r="D36" s="730"/>
      <c r="E36" s="37"/>
      <c r="F36" s="33" t="str">
        <f>技術者!O36</f>
        <v/>
      </c>
      <c r="G36" s="68" t="str">
        <f t="shared" si="0"/>
        <v/>
      </c>
      <c r="H36" s="70">
        <f>IF($B36="*",VLOOKUP($F36,別表第四!$A$3:$E$44,3),0)</f>
        <v>0</v>
      </c>
      <c r="I36" s="70">
        <f>IF($B36="*",VLOOKUP($F36,別表第四!$A$3:$E$44,4),0)</f>
        <v>0</v>
      </c>
      <c r="J36" s="68">
        <f>IF($B36="*",VLOOKUP($F36,別表第四!$A$3:$E$44,5),0)</f>
        <v>0</v>
      </c>
    </row>
    <row r="37" spans="2:10" ht="12" customHeight="1" x14ac:dyDescent="0.15">
      <c r="B37" s="16" t="str">
        <f>完成工事高!B37</f>
        <v/>
      </c>
      <c r="C37" s="730" t="s">
        <v>12</v>
      </c>
      <c r="D37" s="730"/>
      <c r="E37" s="37"/>
      <c r="F37" s="33" t="str">
        <f>技術者!O37</f>
        <v/>
      </c>
      <c r="G37" s="68" t="str">
        <f t="shared" si="0"/>
        <v/>
      </c>
      <c r="H37" s="70">
        <f>IF($B37="*",VLOOKUP($F37,別表第四!$A$3:$E$44,3),0)</f>
        <v>0</v>
      </c>
      <c r="I37" s="70">
        <f>IF($B37="*",VLOOKUP($F37,別表第四!$A$3:$E$44,4),0)</f>
        <v>0</v>
      </c>
      <c r="J37" s="68">
        <f>IF($B37="*",VLOOKUP($F37,別表第四!$A$3:$E$44,5),0)</f>
        <v>0</v>
      </c>
    </row>
    <row r="38" spans="2:10" ht="12" customHeight="1" x14ac:dyDescent="0.15">
      <c r="B38" s="16" t="str">
        <f>完成工事高!B38</f>
        <v/>
      </c>
      <c r="C38" s="730" t="s">
        <v>533</v>
      </c>
      <c r="D38" s="730"/>
      <c r="E38" s="37"/>
      <c r="F38" s="33" t="str">
        <f>技術者!O38</f>
        <v/>
      </c>
      <c r="G38" s="68" t="str">
        <f t="shared" si="0"/>
        <v/>
      </c>
      <c r="H38" s="70">
        <f>IF($B38="*",VLOOKUP($F38,別表第四!$A$3:$E$44,3),0)</f>
        <v>0</v>
      </c>
      <c r="I38" s="70">
        <f>IF($B38="*",VLOOKUP($F38,別表第四!$A$3:$E$44,4),0)</f>
        <v>0</v>
      </c>
      <c r="J38" s="68">
        <f>IF($B38="*",VLOOKUP($F38,別表第四!$A$3:$E$44,5),0)</f>
        <v>0</v>
      </c>
    </row>
    <row r="39" spans="2:10" ht="12" customHeight="1" x14ac:dyDescent="0.15">
      <c r="B39" s="16"/>
      <c r="C39" s="730" t="s">
        <v>47</v>
      </c>
      <c r="D39" s="730"/>
      <c r="E39" s="37"/>
      <c r="F39" s="33">
        <f>技術者!O39</f>
        <v>0</v>
      </c>
      <c r="G39" s="68">
        <f t="shared" si="0"/>
        <v>0</v>
      </c>
      <c r="H39" s="70">
        <f>IF($B39="*",VLOOKUP($F39,別表第四!$A$3:$E$44,3),0)</f>
        <v>0</v>
      </c>
      <c r="I39" s="70">
        <f>IF($B39="*",VLOOKUP($F39,別表第四!$A$3:$E$44,4),0)</f>
        <v>0</v>
      </c>
      <c r="J39" s="68">
        <f>IF($B39="*",VLOOKUP($F39,別表第四!$A$3:$E$44,5),0)</f>
        <v>0</v>
      </c>
    </row>
    <row r="40" spans="2:10" ht="12" customHeight="1" x14ac:dyDescent="0.15">
      <c r="B40" s="16"/>
      <c r="C40" s="730" t="s">
        <v>114</v>
      </c>
      <c r="D40" s="730"/>
      <c r="E40" s="37"/>
      <c r="F40" s="33">
        <f>技術者!O40</f>
        <v>0</v>
      </c>
    </row>
    <row r="41" spans="2:10" ht="12" customHeight="1" x14ac:dyDescent="0.15">
      <c r="F41" s="73"/>
    </row>
  </sheetData>
  <sheetProtection algorithmName="SHA-512" hashValue="MU1FztVU70weIlc4BP987ikRSiVMZ5Z6RMDfuC+Gf6D/KBAxw4SagAhRBMhZD95soU372OFrkFYmq19EKgT3bw==" saltValue="eeYxx9aaGqp+1nbkl9yRgQ==" spinCount="100000" sheet="1" selectLockedCells="1" selectUnlockedCells="1"/>
  <mergeCells count="38">
    <mergeCell ref="C40:D40"/>
    <mergeCell ref="C29:D29"/>
    <mergeCell ref="C37:D37"/>
    <mergeCell ref="C30:D30"/>
    <mergeCell ref="C31:D31"/>
    <mergeCell ref="C39:D39"/>
    <mergeCell ref="C32:D32"/>
    <mergeCell ref="C33:D33"/>
    <mergeCell ref="C34:D34"/>
    <mergeCell ref="C36:D36"/>
    <mergeCell ref="C38:D38"/>
    <mergeCell ref="C35:D35"/>
    <mergeCell ref="A23:A25"/>
    <mergeCell ref="G5:J5"/>
    <mergeCell ref="C24:D24"/>
    <mergeCell ref="C19:D19"/>
    <mergeCell ref="C20:D20"/>
    <mergeCell ref="C21:D21"/>
    <mergeCell ref="C22:D22"/>
    <mergeCell ref="F5:F6"/>
    <mergeCell ref="B5:D6"/>
    <mergeCell ref="C9:D9"/>
    <mergeCell ref="C7:D7"/>
    <mergeCell ref="C8:D8"/>
    <mergeCell ref="C11:D11"/>
    <mergeCell ref="C28:D28"/>
    <mergeCell ref="C18:D18"/>
    <mergeCell ref="C10:D10"/>
    <mergeCell ref="C12:D12"/>
    <mergeCell ref="C15:D15"/>
    <mergeCell ref="C27:D27"/>
    <mergeCell ref="C13:D13"/>
    <mergeCell ref="C25:D25"/>
    <mergeCell ref="C26:D26"/>
    <mergeCell ref="C23:D23"/>
    <mergeCell ref="C16:D16"/>
    <mergeCell ref="C17:D17"/>
    <mergeCell ref="C14:D14"/>
  </mergeCells>
  <phoneticPr fontId="2"/>
  <pageMargins left="0.78740157480314965" right="0.19685039370078741" top="0.39370078740157483" bottom="0" header="0" footer="0"/>
  <pageSetup paperSize="9"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indexed="46"/>
  </sheetPr>
  <dimension ref="A1:L44"/>
  <sheetViews>
    <sheetView workbookViewId="0"/>
  </sheetViews>
  <sheetFormatPr defaultColWidth="9" defaultRowHeight="12" customHeight="1" x14ac:dyDescent="0.15"/>
  <cols>
    <col min="1" max="1" width="18" style="57" bestFit="1" customWidth="1"/>
    <col min="2" max="3" width="4.875" style="57" customWidth="1"/>
    <col min="4" max="16384" width="9" style="57"/>
  </cols>
  <sheetData>
    <row r="1" spans="1:12" ht="12" customHeight="1" x14ac:dyDescent="0.15">
      <c r="A1" s="57" t="s">
        <v>768</v>
      </c>
      <c r="B1" s="166"/>
      <c r="C1" s="734"/>
      <c r="D1" s="735"/>
      <c r="E1" s="735"/>
      <c r="I1" s="166"/>
      <c r="J1" s="167"/>
      <c r="K1" s="168"/>
      <c r="L1" s="168"/>
    </row>
    <row r="2" spans="1:12" ht="12" customHeight="1" x14ac:dyDescent="0.15">
      <c r="A2" s="57" t="s">
        <v>36</v>
      </c>
      <c r="B2" s="169" t="s">
        <v>33</v>
      </c>
      <c r="C2" s="169" t="s">
        <v>128</v>
      </c>
      <c r="D2" s="169" t="s">
        <v>127</v>
      </c>
      <c r="E2" s="169" t="s">
        <v>129</v>
      </c>
      <c r="I2" s="169"/>
      <c r="J2" s="169"/>
      <c r="K2" s="169"/>
      <c r="L2" s="169"/>
    </row>
    <row r="3" spans="1:12" ht="12" customHeight="1" x14ac:dyDescent="0.15">
      <c r="A3" s="57">
        <v>0</v>
      </c>
      <c r="B3" s="170">
        <v>42</v>
      </c>
      <c r="C3" s="170">
        <v>131</v>
      </c>
      <c r="D3" s="170">
        <v>10000</v>
      </c>
      <c r="E3" s="170">
        <v>397</v>
      </c>
      <c r="I3" s="170"/>
      <c r="J3" s="170"/>
      <c r="K3" s="170"/>
      <c r="L3" s="170"/>
    </row>
    <row r="4" spans="1:12" ht="12" customHeight="1" x14ac:dyDescent="0.15">
      <c r="A4" s="57">
        <v>10000</v>
      </c>
      <c r="B4" s="170">
        <v>41</v>
      </c>
      <c r="C4" s="170">
        <v>11</v>
      </c>
      <c r="D4" s="170">
        <v>2000</v>
      </c>
      <c r="E4" s="170">
        <v>473</v>
      </c>
      <c r="I4" s="170"/>
      <c r="J4" s="170"/>
      <c r="K4" s="170"/>
      <c r="L4" s="170"/>
    </row>
    <row r="5" spans="1:12" ht="12" customHeight="1" x14ac:dyDescent="0.15">
      <c r="A5" s="57">
        <v>12000</v>
      </c>
      <c r="B5" s="170">
        <v>40</v>
      </c>
      <c r="C5" s="170">
        <v>14</v>
      </c>
      <c r="D5" s="170">
        <v>3000</v>
      </c>
      <c r="E5" s="170">
        <v>483</v>
      </c>
      <c r="I5" s="170"/>
      <c r="J5" s="170"/>
      <c r="K5" s="170"/>
      <c r="L5" s="170"/>
    </row>
    <row r="6" spans="1:12" ht="12" customHeight="1" x14ac:dyDescent="0.15">
      <c r="A6" s="57">
        <v>15000</v>
      </c>
      <c r="B6" s="170">
        <v>39</v>
      </c>
      <c r="C6" s="170">
        <v>20</v>
      </c>
      <c r="D6" s="170">
        <v>5000</v>
      </c>
      <c r="E6" s="170">
        <v>493</v>
      </c>
      <c r="I6" s="170"/>
      <c r="J6" s="170"/>
      <c r="K6" s="170"/>
      <c r="L6" s="170"/>
    </row>
    <row r="7" spans="1:12" ht="12" customHeight="1" x14ac:dyDescent="0.15">
      <c r="A7" s="57">
        <v>20000</v>
      </c>
      <c r="B7" s="170">
        <v>38</v>
      </c>
      <c r="C7" s="170">
        <v>16</v>
      </c>
      <c r="D7" s="170">
        <v>5000</v>
      </c>
      <c r="E7" s="170">
        <v>509</v>
      </c>
      <c r="I7" s="170"/>
      <c r="J7" s="170"/>
      <c r="K7" s="170"/>
      <c r="L7" s="170"/>
    </row>
    <row r="8" spans="1:12" ht="12" customHeight="1" x14ac:dyDescent="0.15">
      <c r="A8" s="57">
        <v>25000</v>
      </c>
      <c r="B8" s="170">
        <v>37</v>
      </c>
      <c r="C8" s="170">
        <v>13</v>
      </c>
      <c r="D8" s="170">
        <v>5000</v>
      </c>
      <c r="E8" s="170">
        <v>524</v>
      </c>
      <c r="I8" s="170"/>
      <c r="J8" s="170"/>
      <c r="K8" s="170"/>
      <c r="L8" s="170"/>
    </row>
    <row r="9" spans="1:12" ht="12" customHeight="1" x14ac:dyDescent="0.15">
      <c r="A9" s="57">
        <v>30000</v>
      </c>
      <c r="B9" s="170">
        <v>36</v>
      </c>
      <c r="C9" s="170">
        <v>24</v>
      </c>
      <c r="D9" s="170">
        <v>10000</v>
      </c>
      <c r="E9" s="170">
        <v>530</v>
      </c>
      <c r="I9" s="170"/>
      <c r="J9" s="170"/>
      <c r="K9" s="170"/>
      <c r="L9" s="170"/>
    </row>
    <row r="10" spans="1:12" ht="12" customHeight="1" x14ac:dyDescent="0.15">
      <c r="A10" s="57">
        <v>40000</v>
      </c>
      <c r="B10" s="170">
        <v>35</v>
      </c>
      <c r="C10" s="170">
        <v>19</v>
      </c>
      <c r="D10" s="170">
        <v>10000</v>
      </c>
      <c r="E10" s="170">
        <v>550</v>
      </c>
      <c r="I10" s="170"/>
      <c r="J10" s="170"/>
      <c r="K10" s="170"/>
      <c r="L10" s="170"/>
    </row>
    <row r="11" spans="1:12" ht="12" customHeight="1" x14ac:dyDescent="0.15">
      <c r="A11" s="57">
        <v>50000</v>
      </c>
      <c r="B11" s="170">
        <v>34</v>
      </c>
      <c r="C11" s="170">
        <v>16</v>
      </c>
      <c r="D11" s="170">
        <v>10000</v>
      </c>
      <c r="E11" s="170">
        <v>565</v>
      </c>
      <c r="I11" s="170"/>
      <c r="J11" s="170"/>
      <c r="K11" s="170"/>
      <c r="L11" s="170"/>
    </row>
    <row r="12" spans="1:12" ht="12" customHeight="1" x14ac:dyDescent="0.15">
      <c r="A12" s="57">
        <v>60000</v>
      </c>
      <c r="B12" s="170">
        <v>33</v>
      </c>
      <c r="C12" s="170">
        <v>28</v>
      </c>
      <c r="D12" s="170">
        <v>20000</v>
      </c>
      <c r="E12" s="170">
        <v>577</v>
      </c>
      <c r="I12" s="170"/>
      <c r="J12" s="170"/>
      <c r="K12" s="170"/>
      <c r="L12" s="170"/>
    </row>
    <row r="13" spans="1:12" ht="12" customHeight="1" x14ac:dyDescent="0.15">
      <c r="A13" s="57">
        <v>80000</v>
      </c>
      <c r="B13" s="170">
        <v>32</v>
      </c>
      <c r="C13" s="170">
        <v>22</v>
      </c>
      <c r="D13" s="170">
        <v>20000</v>
      </c>
      <c r="E13" s="170">
        <v>601</v>
      </c>
      <c r="I13" s="170"/>
      <c r="J13" s="170"/>
      <c r="K13" s="170"/>
      <c r="L13" s="170"/>
    </row>
    <row r="14" spans="1:12" ht="12" customHeight="1" x14ac:dyDescent="0.15">
      <c r="A14" s="57">
        <v>100000</v>
      </c>
      <c r="B14" s="170">
        <v>31</v>
      </c>
      <c r="C14" s="170">
        <v>19</v>
      </c>
      <c r="D14" s="170">
        <v>20000</v>
      </c>
      <c r="E14" s="170">
        <v>616</v>
      </c>
      <c r="I14" s="170"/>
      <c r="J14" s="170"/>
      <c r="K14" s="170"/>
      <c r="L14" s="170"/>
    </row>
    <row r="15" spans="1:12" ht="12" customHeight="1" x14ac:dyDescent="0.15">
      <c r="A15" s="57">
        <v>120000</v>
      </c>
      <c r="B15" s="170">
        <v>30</v>
      </c>
      <c r="C15" s="170">
        <v>26</v>
      </c>
      <c r="D15" s="170">
        <v>30000</v>
      </c>
      <c r="E15" s="170">
        <v>626</v>
      </c>
      <c r="I15" s="170"/>
      <c r="J15" s="170"/>
      <c r="K15" s="170"/>
      <c r="L15" s="170"/>
    </row>
    <row r="16" spans="1:12" ht="12" customHeight="1" x14ac:dyDescent="0.15">
      <c r="A16" s="57">
        <v>150000</v>
      </c>
      <c r="B16" s="170">
        <v>29</v>
      </c>
      <c r="C16" s="170">
        <v>34</v>
      </c>
      <c r="D16" s="170">
        <v>50000</v>
      </c>
      <c r="E16" s="170">
        <v>654</v>
      </c>
      <c r="I16" s="170"/>
      <c r="J16" s="170"/>
      <c r="K16" s="170"/>
      <c r="L16" s="170"/>
    </row>
    <row r="17" spans="1:12" ht="12" customHeight="1" x14ac:dyDescent="0.15">
      <c r="A17" s="57">
        <v>200000</v>
      </c>
      <c r="B17" s="170">
        <v>28</v>
      </c>
      <c r="C17" s="170">
        <v>28</v>
      </c>
      <c r="D17" s="170">
        <v>50000</v>
      </c>
      <c r="E17" s="170">
        <v>678</v>
      </c>
      <c r="I17" s="170"/>
      <c r="J17" s="170"/>
      <c r="K17" s="170"/>
      <c r="L17" s="170"/>
    </row>
    <row r="18" spans="1:12" ht="12" customHeight="1" x14ac:dyDescent="0.15">
      <c r="A18" s="57">
        <v>250000</v>
      </c>
      <c r="B18" s="170">
        <v>27</v>
      </c>
      <c r="C18" s="170">
        <v>24</v>
      </c>
      <c r="D18" s="170">
        <v>50000</v>
      </c>
      <c r="E18" s="170">
        <v>698</v>
      </c>
      <c r="I18" s="170"/>
      <c r="J18" s="170"/>
      <c r="K18" s="170"/>
      <c r="L18" s="170"/>
    </row>
    <row r="19" spans="1:12" ht="12" customHeight="1" x14ac:dyDescent="0.15">
      <c r="A19" s="57">
        <v>300000</v>
      </c>
      <c r="B19" s="170">
        <v>26</v>
      </c>
      <c r="C19" s="170">
        <v>42</v>
      </c>
      <c r="D19" s="170">
        <v>100000</v>
      </c>
      <c r="E19" s="170">
        <v>716</v>
      </c>
      <c r="I19" s="170"/>
      <c r="J19" s="170"/>
      <c r="K19" s="170"/>
      <c r="L19" s="170"/>
    </row>
    <row r="20" spans="1:12" ht="12" customHeight="1" x14ac:dyDescent="0.15">
      <c r="A20" s="57">
        <v>400000</v>
      </c>
      <c r="B20" s="170">
        <v>25</v>
      </c>
      <c r="C20" s="170">
        <v>34</v>
      </c>
      <c r="D20" s="170">
        <v>100000</v>
      </c>
      <c r="E20" s="170">
        <v>748</v>
      </c>
      <c r="I20" s="170"/>
      <c r="J20" s="170"/>
      <c r="K20" s="170"/>
      <c r="L20" s="170"/>
    </row>
    <row r="21" spans="1:12" ht="12" customHeight="1" x14ac:dyDescent="0.15">
      <c r="A21" s="57">
        <v>500000</v>
      </c>
      <c r="B21" s="170">
        <v>24</v>
      </c>
      <c r="C21" s="170">
        <v>25</v>
      </c>
      <c r="D21" s="170">
        <v>100000</v>
      </c>
      <c r="E21" s="170">
        <v>793</v>
      </c>
      <c r="I21" s="170"/>
      <c r="J21" s="170"/>
      <c r="K21" s="170"/>
      <c r="L21" s="170"/>
    </row>
    <row r="22" spans="1:12" ht="12" customHeight="1" x14ac:dyDescent="0.15">
      <c r="A22" s="57">
        <v>600000</v>
      </c>
      <c r="B22" s="170">
        <v>23</v>
      </c>
      <c r="C22" s="170">
        <v>25</v>
      </c>
      <c r="D22" s="170">
        <v>200000</v>
      </c>
      <c r="E22" s="170">
        <v>868</v>
      </c>
      <c r="I22" s="170"/>
      <c r="J22" s="170"/>
      <c r="K22" s="170"/>
      <c r="L22" s="170"/>
    </row>
    <row r="23" spans="1:12" ht="12" customHeight="1" x14ac:dyDescent="0.15">
      <c r="A23" s="57">
        <v>800000</v>
      </c>
      <c r="B23" s="170">
        <v>22</v>
      </c>
      <c r="C23" s="170">
        <v>38</v>
      </c>
      <c r="D23" s="170">
        <v>200000</v>
      </c>
      <c r="E23" s="170">
        <v>816</v>
      </c>
      <c r="I23" s="170"/>
      <c r="J23" s="170"/>
      <c r="K23" s="170"/>
      <c r="L23" s="170"/>
    </row>
    <row r="24" spans="1:12" ht="12" customHeight="1" x14ac:dyDescent="0.15">
      <c r="A24" s="57">
        <v>1000000</v>
      </c>
      <c r="B24" s="170">
        <v>21</v>
      </c>
      <c r="C24" s="170">
        <v>39</v>
      </c>
      <c r="D24" s="170">
        <v>200000</v>
      </c>
      <c r="E24" s="170">
        <v>811</v>
      </c>
      <c r="I24" s="170"/>
      <c r="J24" s="170"/>
      <c r="K24" s="170"/>
      <c r="L24" s="170"/>
    </row>
    <row r="25" spans="1:12" ht="12" customHeight="1" x14ac:dyDescent="0.15">
      <c r="A25" s="57">
        <v>1200000</v>
      </c>
      <c r="B25" s="170">
        <v>20</v>
      </c>
      <c r="C25" s="170">
        <v>38</v>
      </c>
      <c r="D25" s="170">
        <v>300000</v>
      </c>
      <c r="E25" s="170">
        <v>893</v>
      </c>
      <c r="I25" s="170"/>
      <c r="J25" s="170"/>
      <c r="K25" s="170"/>
      <c r="L25" s="170"/>
    </row>
    <row r="26" spans="1:12" ht="12" customHeight="1" x14ac:dyDescent="0.15">
      <c r="A26" s="57">
        <v>1500000</v>
      </c>
      <c r="B26" s="170">
        <v>19</v>
      </c>
      <c r="C26" s="170">
        <v>36</v>
      </c>
      <c r="D26" s="170">
        <v>500000</v>
      </c>
      <c r="E26" s="170">
        <v>975</v>
      </c>
      <c r="I26" s="170"/>
      <c r="J26" s="170"/>
      <c r="K26" s="170"/>
      <c r="L26" s="170"/>
    </row>
    <row r="27" spans="1:12" ht="12" customHeight="1" x14ac:dyDescent="0.15">
      <c r="A27" s="57">
        <v>2000000</v>
      </c>
      <c r="B27" s="170">
        <v>18</v>
      </c>
      <c r="C27" s="170">
        <v>39</v>
      </c>
      <c r="D27" s="170">
        <v>500000</v>
      </c>
      <c r="E27" s="170">
        <v>963</v>
      </c>
      <c r="I27" s="170"/>
      <c r="J27" s="170"/>
      <c r="K27" s="170"/>
      <c r="L27" s="170"/>
    </row>
    <row r="28" spans="1:12" ht="12" customHeight="1" x14ac:dyDescent="0.15">
      <c r="A28" s="57">
        <v>2500000</v>
      </c>
      <c r="B28" s="170">
        <v>17</v>
      </c>
      <c r="C28" s="170">
        <v>51</v>
      </c>
      <c r="D28" s="170">
        <v>500000</v>
      </c>
      <c r="E28" s="170">
        <v>903</v>
      </c>
      <c r="I28" s="170"/>
      <c r="J28" s="170"/>
      <c r="K28" s="170"/>
      <c r="L28" s="170"/>
    </row>
    <row r="29" spans="1:12" ht="12" customHeight="1" x14ac:dyDescent="0.15">
      <c r="A29" s="57">
        <v>3000000</v>
      </c>
      <c r="B29" s="170">
        <v>16</v>
      </c>
      <c r="C29" s="170">
        <v>50</v>
      </c>
      <c r="D29" s="170">
        <v>1000000</v>
      </c>
      <c r="E29" s="170">
        <v>1059</v>
      </c>
      <c r="I29" s="170"/>
      <c r="J29" s="170"/>
      <c r="K29" s="170"/>
      <c r="L29" s="170"/>
    </row>
    <row r="30" spans="1:12" ht="12" customHeight="1" x14ac:dyDescent="0.15">
      <c r="A30" s="57">
        <v>4000000</v>
      </c>
      <c r="B30" s="170">
        <v>15</v>
      </c>
      <c r="C30" s="170">
        <v>51</v>
      </c>
      <c r="D30" s="170">
        <v>1000000</v>
      </c>
      <c r="E30" s="170">
        <v>1055</v>
      </c>
      <c r="I30" s="170"/>
      <c r="J30" s="170"/>
      <c r="K30" s="170"/>
      <c r="L30" s="170"/>
    </row>
    <row r="31" spans="1:12" ht="12" customHeight="1" x14ac:dyDescent="0.15">
      <c r="A31" s="57">
        <v>5000000</v>
      </c>
      <c r="B31" s="170">
        <v>14</v>
      </c>
      <c r="C31" s="170">
        <v>51</v>
      </c>
      <c r="D31" s="170">
        <v>1000000</v>
      </c>
      <c r="E31" s="170">
        <v>1055</v>
      </c>
      <c r="I31" s="170"/>
      <c r="J31" s="170"/>
      <c r="K31" s="170"/>
      <c r="L31" s="170"/>
    </row>
    <row r="32" spans="1:12" ht="12" customHeight="1" x14ac:dyDescent="0.15">
      <c r="A32" s="57">
        <v>6000000</v>
      </c>
      <c r="B32" s="170">
        <v>13</v>
      </c>
      <c r="C32" s="170">
        <v>50</v>
      </c>
      <c r="D32" s="170">
        <v>2000000</v>
      </c>
      <c r="E32" s="170">
        <v>1211</v>
      </c>
      <c r="I32" s="170"/>
      <c r="J32" s="170"/>
      <c r="K32" s="170"/>
      <c r="L32" s="170"/>
    </row>
    <row r="33" spans="1:12" ht="12" customHeight="1" x14ac:dyDescent="0.15">
      <c r="A33" s="57">
        <v>8000000</v>
      </c>
      <c r="B33" s="170">
        <v>12</v>
      </c>
      <c r="C33" s="170">
        <v>64</v>
      </c>
      <c r="D33" s="170">
        <v>2000000</v>
      </c>
      <c r="E33" s="170">
        <v>1155</v>
      </c>
      <c r="I33" s="170"/>
      <c r="J33" s="170"/>
      <c r="K33" s="170"/>
      <c r="L33" s="170"/>
    </row>
    <row r="34" spans="1:12" ht="12" customHeight="1" x14ac:dyDescent="0.15">
      <c r="A34" s="57">
        <v>10000000</v>
      </c>
      <c r="B34" s="170">
        <v>11</v>
      </c>
      <c r="C34" s="170">
        <v>62</v>
      </c>
      <c r="D34" s="170">
        <v>2000000</v>
      </c>
      <c r="E34" s="170">
        <v>1165</v>
      </c>
      <c r="I34" s="170"/>
      <c r="J34" s="170"/>
      <c r="K34" s="170"/>
      <c r="L34" s="170"/>
    </row>
    <row r="35" spans="1:12" ht="12" customHeight="1" x14ac:dyDescent="0.15">
      <c r="A35" s="57">
        <v>12000000</v>
      </c>
      <c r="B35" s="170">
        <v>10</v>
      </c>
      <c r="C35" s="170">
        <v>64</v>
      </c>
      <c r="D35" s="170">
        <v>3000000</v>
      </c>
      <c r="E35" s="170">
        <v>1281</v>
      </c>
      <c r="I35" s="170"/>
      <c r="J35" s="170"/>
      <c r="K35" s="170"/>
      <c r="L35" s="170"/>
    </row>
    <row r="36" spans="1:12" ht="12" customHeight="1" x14ac:dyDescent="0.15">
      <c r="A36" s="57">
        <v>15000000</v>
      </c>
      <c r="B36" s="170">
        <v>9</v>
      </c>
      <c r="C36" s="170">
        <v>76</v>
      </c>
      <c r="D36" s="170">
        <v>5000000</v>
      </c>
      <c r="E36" s="170">
        <v>1373</v>
      </c>
      <c r="I36" s="170"/>
      <c r="J36" s="170"/>
      <c r="K36" s="170"/>
      <c r="L36" s="170"/>
    </row>
    <row r="37" spans="1:12" ht="12" customHeight="1" x14ac:dyDescent="0.15">
      <c r="A37" s="57">
        <v>20000000</v>
      </c>
      <c r="B37" s="170">
        <v>8</v>
      </c>
      <c r="C37" s="170">
        <v>76</v>
      </c>
      <c r="D37" s="170">
        <v>5000000</v>
      </c>
      <c r="E37" s="170">
        <v>1373</v>
      </c>
      <c r="I37" s="170"/>
      <c r="J37" s="170"/>
      <c r="K37" s="170"/>
      <c r="L37" s="170"/>
    </row>
    <row r="38" spans="1:12" ht="12" customHeight="1" x14ac:dyDescent="0.15">
      <c r="A38" s="57">
        <v>25000000</v>
      </c>
      <c r="B38" s="170">
        <v>7</v>
      </c>
      <c r="C38" s="170">
        <v>75</v>
      </c>
      <c r="D38" s="170">
        <v>5000000</v>
      </c>
      <c r="E38" s="170">
        <v>1378</v>
      </c>
      <c r="I38" s="170"/>
      <c r="J38" s="170"/>
      <c r="K38" s="170"/>
      <c r="L38" s="170"/>
    </row>
    <row r="39" spans="1:12" ht="12" customHeight="1" x14ac:dyDescent="0.15">
      <c r="A39" s="57">
        <v>30000000</v>
      </c>
      <c r="B39" s="170">
        <v>6</v>
      </c>
      <c r="C39" s="170">
        <v>89</v>
      </c>
      <c r="D39" s="170">
        <v>10000000</v>
      </c>
      <c r="E39" s="170">
        <v>1561</v>
      </c>
      <c r="I39" s="170"/>
      <c r="J39" s="170"/>
      <c r="K39" s="170"/>
      <c r="L39" s="170"/>
    </row>
    <row r="40" spans="1:12" ht="12" customHeight="1" x14ac:dyDescent="0.15">
      <c r="A40" s="57">
        <v>40000000</v>
      </c>
      <c r="B40" s="170">
        <v>5</v>
      </c>
      <c r="C40" s="170">
        <v>89</v>
      </c>
      <c r="D40" s="170">
        <v>10000000</v>
      </c>
      <c r="E40" s="170">
        <v>1561</v>
      </c>
      <c r="I40" s="170"/>
      <c r="J40" s="170"/>
      <c r="K40" s="170"/>
      <c r="L40" s="170"/>
    </row>
    <row r="41" spans="1:12" ht="12" customHeight="1" x14ac:dyDescent="0.15">
      <c r="A41" s="57">
        <v>50000000</v>
      </c>
      <c r="B41" s="170">
        <v>4</v>
      </c>
      <c r="C41" s="170">
        <v>88</v>
      </c>
      <c r="D41" s="170">
        <v>10000000</v>
      </c>
      <c r="E41" s="170">
        <v>1566</v>
      </c>
      <c r="I41" s="170"/>
      <c r="J41" s="170"/>
      <c r="K41" s="170"/>
      <c r="L41" s="170"/>
    </row>
    <row r="42" spans="1:12" ht="12" customHeight="1" x14ac:dyDescent="0.15">
      <c r="A42" s="57">
        <v>60000000</v>
      </c>
      <c r="B42" s="170">
        <v>3</v>
      </c>
      <c r="C42" s="170">
        <v>101</v>
      </c>
      <c r="D42" s="170">
        <v>20000000</v>
      </c>
      <c r="E42" s="170">
        <v>1791</v>
      </c>
      <c r="I42" s="170"/>
      <c r="J42" s="170"/>
      <c r="K42" s="170"/>
      <c r="L42" s="170"/>
    </row>
    <row r="43" spans="1:12" ht="12" customHeight="1" x14ac:dyDescent="0.15">
      <c r="A43" s="57">
        <v>80000000</v>
      </c>
      <c r="B43" s="170">
        <v>2</v>
      </c>
      <c r="C43" s="170">
        <v>114</v>
      </c>
      <c r="D43" s="170">
        <v>20000000</v>
      </c>
      <c r="E43" s="170">
        <v>1739</v>
      </c>
      <c r="I43" s="170"/>
      <c r="J43" s="170"/>
      <c r="K43" s="170"/>
      <c r="L43" s="170"/>
    </row>
    <row r="44" spans="1:12" ht="12" customHeight="1" x14ac:dyDescent="0.15">
      <c r="A44" s="57">
        <v>100000000</v>
      </c>
      <c r="B44" s="170">
        <v>1</v>
      </c>
      <c r="C44" s="170">
        <v>1</v>
      </c>
      <c r="D44" s="170">
        <v>1</v>
      </c>
      <c r="E44" s="170">
        <v>2309</v>
      </c>
      <c r="I44" s="170"/>
      <c r="J44" s="170"/>
      <c r="K44" s="170"/>
      <c r="L44" s="170"/>
    </row>
  </sheetData>
  <sheetProtection algorithmName="SHA-512" hashValue="EK07+h/3q8l2IKf0DTkSM5mj89E/MggcVMC4cla7RLz50EvZDctbJ6fqrFVfFOp+MWUIPJrjNNIpmdjGLkwm/A==" saltValue="wXKZGCSFfqw16hlasdDUYA==" spinCount="100000" sheet="1" selectLockedCells="1" selectUnlockedCells="1"/>
  <mergeCells count="1">
    <mergeCell ref="C1:E1"/>
  </mergeCells>
  <phoneticPr fontId="2"/>
  <pageMargins left="0.75" right="0.75" top="1" bottom="1" header="0.51200000000000001" footer="0.51200000000000001"/>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tabColor indexed="46"/>
  </sheetPr>
  <dimension ref="A1:O53"/>
  <sheetViews>
    <sheetView workbookViewId="0"/>
  </sheetViews>
  <sheetFormatPr defaultColWidth="9" defaultRowHeight="12" customHeight="1" x14ac:dyDescent="0.15"/>
  <cols>
    <col min="1" max="1" width="18" style="57" bestFit="1" customWidth="1"/>
    <col min="2" max="2" width="7.5" style="66" customWidth="1"/>
    <col min="3" max="3" width="4.875" style="66" customWidth="1"/>
    <col min="4" max="4" width="9.25" style="66" bestFit="1" customWidth="1"/>
    <col min="5" max="5" width="9" style="66"/>
    <col min="6" max="6" width="9" style="59"/>
    <col min="7" max="7" width="7.5" style="59" customWidth="1"/>
    <col min="8" max="11" width="5.625" style="59" customWidth="1"/>
    <col min="12" max="12" width="7.5" style="59" customWidth="1"/>
    <col min="13" max="15" width="5.625" style="59" customWidth="1"/>
    <col min="16" max="16384" width="9" style="59"/>
  </cols>
  <sheetData>
    <row r="1" spans="1:15" ht="12" customHeight="1" x14ac:dyDescent="0.15">
      <c r="A1" s="57" t="s">
        <v>769</v>
      </c>
      <c r="B1" s="66" t="s">
        <v>134</v>
      </c>
      <c r="G1" s="66" t="s">
        <v>44</v>
      </c>
      <c r="H1" s="66"/>
      <c r="I1" s="66"/>
      <c r="J1" s="66"/>
      <c r="L1" s="66" t="s">
        <v>121</v>
      </c>
      <c r="M1" s="66"/>
      <c r="N1" s="66"/>
      <c r="O1" s="66"/>
    </row>
    <row r="2" spans="1:15" ht="12" customHeight="1" x14ac:dyDescent="0.15">
      <c r="A2" s="57" t="s">
        <v>42</v>
      </c>
      <c r="B2" s="66">
        <f>'経営状況・自己資本額、平均利益額'!E45</f>
        <v>136391</v>
      </c>
      <c r="G2" s="66">
        <f>IF('経営状況・自己資本額、平均利益額'!D19&lt;0,0,'経営状況・自己資本額、平均利益額'!D19)</f>
        <v>136391</v>
      </c>
      <c r="H2" s="66"/>
      <c r="I2" s="66"/>
      <c r="J2" s="66"/>
      <c r="L2" s="66">
        <f>IF('経営状況・自己資本額、平均利益額'!G19&lt;0,0,'経営状況・自己資本額、平均利益額'!G19)</f>
        <v>93195</v>
      </c>
      <c r="M2" s="66"/>
      <c r="N2" s="66"/>
      <c r="O2" s="66"/>
    </row>
    <row r="3" spans="1:15" ht="12" customHeight="1" x14ac:dyDescent="0.15">
      <c r="A3" s="67" t="s">
        <v>34</v>
      </c>
      <c r="B3" s="66">
        <f>IF(B2&gt;=A53,E53,TRUNC(C3*B2/D3+E3))</f>
        <v>736</v>
      </c>
      <c r="C3" s="66">
        <f>VLOOKUP($B$2,$A$7:$E$53,3)</f>
        <v>16</v>
      </c>
      <c r="D3" s="66">
        <f>VLOOKUP($B$2,$A$7:$E$53,4)</f>
        <v>30000</v>
      </c>
      <c r="E3" s="66">
        <f>VLOOKUP($B$2,$A$7:$E$53,5)</f>
        <v>664</v>
      </c>
      <c r="G3" s="66">
        <f>IF(G2&gt;=A53,J53,TRUNC(H3*G2/I3+J3))</f>
        <v>736</v>
      </c>
      <c r="H3" s="66">
        <f>VLOOKUP($G$2,$A$7:$E$53,3)</f>
        <v>16</v>
      </c>
      <c r="I3" s="66">
        <f>VLOOKUP($G$2,$A$7:$E$53,4)</f>
        <v>30000</v>
      </c>
      <c r="J3" s="66">
        <f>VLOOKUP($G$2,$A$7:$E$53,5)</f>
        <v>664</v>
      </c>
      <c r="L3" s="66">
        <f>IF(L2&gt;=A53,O53,TRUNC(M3*L2/N3+O3))</f>
        <v>709</v>
      </c>
      <c r="M3" s="66">
        <f>VLOOKUP($L$2,$A$7:$E$53,3)</f>
        <v>16</v>
      </c>
      <c r="N3" s="66">
        <f>VLOOKUP($L$2,$A$7:$E$53,4)</f>
        <v>20000</v>
      </c>
      <c r="O3" s="66">
        <f>VLOOKUP($L$2,$A$7:$E$53,5)</f>
        <v>635</v>
      </c>
    </row>
    <row r="5" spans="1:15" ht="12" customHeight="1" x14ac:dyDescent="0.15">
      <c r="B5" s="166"/>
      <c r="C5" s="734"/>
      <c r="D5" s="735"/>
      <c r="E5" s="735"/>
      <c r="F5" s="165" t="s">
        <v>275</v>
      </c>
      <c r="G5" s="59">
        <f>'経営状況・自己資本額、平均利益額'!F46</f>
        <v>594</v>
      </c>
      <c r="L5" s="59">
        <f>'経営状況・自己資本額、平均利益額'!F46</f>
        <v>594</v>
      </c>
    </row>
    <row r="6" spans="1:15" ht="12" customHeight="1" x14ac:dyDescent="0.15">
      <c r="A6" s="57" t="s">
        <v>42</v>
      </c>
      <c r="B6" s="169" t="s">
        <v>33</v>
      </c>
      <c r="C6" s="169" t="s">
        <v>128</v>
      </c>
      <c r="D6" s="169" t="s">
        <v>127</v>
      </c>
      <c r="E6" s="169" t="s">
        <v>129</v>
      </c>
    </row>
    <row r="7" spans="1:15" ht="12" customHeight="1" x14ac:dyDescent="0.15">
      <c r="A7" s="57">
        <v>0</v>
      </c>
      <c r="B7" s="170">
        <v>47</v>
      </c>
      <c r="C7" s="170">
        <v>223</v>
      </c>
      <c r="D7" s="170">
        <v>10000</v>
      </c>
      <c r="E7" s="170">
        <v>361</v>
      </c>
      <c r="F7" s="165" t="s">
        <v>467</v>
      </c>
      <c r="G7" s="59">
        <f>TRUNC((G3+G5)/2)</f>
        <v>665</v>
      </c>
      <c r="L7" s="59">
        <f>TRUNC((L3+L5)/2)</f>
        <v>651</v>
      </c>
    </row>
    <row r="8" spans="1:15" ht="12" customHeight="1" x14ac:dyDescent="0.15">
      <c r="A8" s="57">
        <v>10000</v>
      </c>
      <c r="B8" s="170">
        <v>46</v>
      </c>
      <c r="C8" s="170">
        <v>8</v>
      </c>
      <c r="D8" s="170">
        <v>2000</v>
      </c>
      <c r="E8" s="170">
        <v>544</v>
      </c>
    </row>
    <row r="9" spans="1:15" ht="12" customHeight="1" x14ac:dyDescent="0.15">
      <c r="A9" s="57">
        <v>12000</v>
      </c>
      <c r="B9" s="170">
        <v>45</v>
      </c>
      <c r="C9" s="170">
        <v>11</v>
      </c>
      <c r="D9" s="170">
        <v>3000</v>
      </c>
      <c r="E9" s="170">
        <v>548</v>
      </c>
    </row>
    <row r="10" spans="1:15" ht="12" customHeight="1" x14ac:dyDescent="0.15">
      <c r="A10" s="57">
        <v>15000</v>
      </c>
      <c r="B10" s="170">
        <v>44</v>
      </c>
      <c r="C10" s="170">
        <v>14</v>
      </c>
      <c r="D10" s="170">
        <v>5000</v>
      </c>
      <c r="E10" s="170">
        <v>561</v>
      </c>
    </row>
    <row r="11" spans="1:15" ht="12" customHeight="1" x14ac:dyDescent="0.15">
      <c r="A11" s="57">
        <v>20000</v>
      </c>
      <c r="B11" s="170">
        <v>43</v>
      </c>
      <c r="C11" s="170">
        <v>12</v>
      </c>
      <c r="D11" s="170">
        <v>5000</v>
      </c>
      <c r="E11" s="170">
        <v>569</v>
      </c>
    </row>
    <row r="12" spans="1:15" ht="12" customHeight="1" x14ac:dyDescent="0.15">
      <c r="A12" s="57">
        <v>25000</v>
      </c>
      <c r="B12" s="170">
        <v>42</v>
      </c>
      <c r="C12" s="170">
        <v>10</v>
      </c>
      <c r="D12" s="170">
        <v>5000</v>
      </c>
      <c r="E12" s="170">
        <v>579</v>
      </c>
    </row>
    <row r="13" spans="1:15" ht="12" customHeight="1" x14ac:dyDescent="0.15">
      <c r="A13" s="57">
        <v>30000</v>
      </c>
      <c r="B13" s="170">
        <v>41</v>
      </c>
      <c r="C13" s="170">
        <v>16</v>
      </c>
      <c r="D13" s="170">
        <v>10000</v>
      </c>
      <c r="E13" s="170">
        <v>591</v>
      </c>
    </row>
    <row r="14" spans="1:15" ht="12" customHeight="1" x14ac:dyDescent="0.15">
      <c r="A14" s="57">
        <v>40000</v>
      </c>
      <c r="B14" s="170">
        <v>40</v>
      </c>
      <c r="C14" s="170">
        <v>14</v>
      </c>
      <c r="D14" s="170">
        <v>10000</v>
      </c>
      <c r="E14" s="170">
        <v>599</v>
      </c>
    </row>
    <row r="15" spans="1:15" ht="12" customHeight="1" x14ac:dyDescent="0.15">
      <c r="A15" s="57">
        <v>50000</v>
      </c>
      <c r="B15" s="170">
        <v>39</v>
      </c>
      <c r="C15" s="170">
        <v>11</v>
      </c>
      <c r="D15" s="170">
        <v>10000</v>
      </c>
      <c r="E15" s="170">
        <v>614</v>
      </c>
    </row>
    <row r="16" spans="1:15" ht="12" customHeight="1" x14ac:dyDescent="0.15">
      <c r="A16" s="57">
        <v>60000</v>
      </c>
      <c r="B16" s="170">
        <v>38</v>
      </c>
      <c r="C16" s="170">
        <v>19</v>
      </c>
      <c r="D16" s="170">
        <v>20000</v>
      </c>
      <c r="E16" s="170">
        <v>623</v>
      </c>
    </row>
    <row r="17" spans="1:5" ht="12" customHeight="1" x14ac:dyDescent="0.15">
      <c r="A17" s="57">
        <v>80000</v>
      </c>
      <c r="B17" s="170">
        <v>37</v>
      </c>
      <c r="C17" s="170">
        <v>16</v>
      </c>
      <c r="D17" s="170">
        <v>20000</v>
      </c>
      <c r="E17" s="170">
        <v>635</v>
      </c>
    </row>
    <row r="18" spans="1:5" ht="12" customHeight="1" x14ac:dyDescent="0.15">
      <c r="A18" s="57">
        <v>100000</v>
      </c>
      <c r="B18" s="170">
        <v>36</v>
      </c>
      <c r="C18" s="170">
        <v>13</v>
      </c>
      <c r="D18" s="170">
        <v>20000</v>
      </c>
      <c r="E18" s="170">
        <v>650</v>
      </c>
    </row>
    <row r="19" spans="1:5" ht="12" customHeight="1" x14ac:dyDescent="0.15">
      <c r="A19" s="57">
        <v>120000</v>
      </c>
      <c r="B19" s="170">
        <v>35</v>
      </c>
      <c r="C19" s="170">
        <v>16</v>
      </c>
      <c r="D19" s="170">
        <v>30000</v>
      </c>
      <c r="E19" s="170">
        <v>664</v>
      </c>
    </row>
    <row r="20" spans="1:5" ht="12" customHeight="1" x14ac:dyDescent="0.15">
      <c r="A20" s="57">
        <v>150000</v>
      </c>
      <c r="B20" s="170">
        <v>34</v>
      </c>
      <c r="C20" s="170">
        <v>23</v>
      </c>
      <c r="D20" s="170">
        <v>50000</v>
      </c>
      <c r="E20" s="170">
        <v>675</v>
      </c>
    </row>
    <row r="21" spans="1:5" ht="12" customHeight="1" x14ac:dyDescent="0.15">
      <c r="A21" s="57">
        <v>200000</v>
      </c>
      <c r="B21" s="170">
        <v>33</v>
      </c>
      <c r="C21" s="170">
        <v>19</v>
      </c>
      <c r="D21" s="170">
        <v>50000</v>
      </c>
      <c r="E21" s="170">
        <v>691</v>
      </c>
    </row>
    <row r="22" spans="1:5" ht="12" customHeight="1" x14ac:dyDescent="0.15">
      <c r="A22" s="57">
        <v>250000</v>
      </c>
      <c r="B22" s="170">
        <v>32</v>
      </c>
      <c r="C22" s="170">
        <v>15</v>
      </c>
      <c r="D22" s="170">
        <v>50000</v>
      </c>
      <c r="E22" s="170">
        <v>711</v>
      </c>
    </row>
    <row r="23" spans="1:5" ht="12" customHeight="1" x14ac:dyDescent="0.15">
      <c r="A23" s="57">
        <v>300000</v>
      </c>
      <c r="B23" s="170">
        <v>31</v>
      </c>
      <c r="C23" s="170">
        <v>27</v>
      </c>
      <c r="D23" s="170">
        <v>100000</v>
      </c>
      <c r="E23" s="170">
        <v>720</v>
      </c>
    </row>
    <row r="24" spans="1:5" ht="12" customHeight="1" x14ac:dyDescent="0.15">
      <c r="A24" s="57">
        <v>400000</v>
      </c>
      <c r="B24" s="170">
        <v>30</v>
      </c>
      <c r="C24" s="170">
        <v>21</v>
      </c>
      <c r="D24" s="170">
        <v>100000</v>
      </c>
      <c r="E24" s="170">
        <v>744</v>
      </c>
    </row>
    <row r="25" spans="1:5" ht="12" customHeight="1" x14ac:dyDescent="0.15">
      <c r="A25" s="57">
        <v>500000</v>
      </c>
      <c r="B25" s="170">
        <v>29</v>
      </c>
      <c r="C25" s="170">
        <v>18</v>
      </c>
      <c r="D25" s="170">
        <v>100000</v>
      </c>
      <c r="E25" s="170">
        <v>759</v>
      </c>
    </row>
    <row r="26" spans="1:5" ht="12" customHeight="1" x14ac:dyDescent="0.15">
      <c r="A26" s="57">
        <v>600000</v>
      </c>
      <c r="B26" s="170">
        <v>28</v>
      </c>
      <c r="C26" s="170">
        <v>30</v>
      </c>
      <c r="D26" s="170">
        <v>200000</v>
      </c>
      <c r="E26" s="170">
        <v>777</v>
      </c>
    </row>
    <row r="27" spans="1:5" ht="12" customHeight="1" x14ac:dyDescent="0.15">
      <c r="A27" s="57">
        <v>800000</v>
      </c>
      <c r="B27" s="170">
        <v>27</v>
      </c>
      <c r="C27" s="170">
        <v>24</v>
      </c>
      <c r="D27" s="170">
        <v>200000</v>
      </c>
      <c r="E27" s="170">
        <v>801</v>
      </c>
    </row>
    <row r="28" spans="1:5" ht="12" customHeight="1" x14ac:dyDescent="0.15">
      <c r="A28" s="57">
        <v>1000000</v>
      </c>
      <c r="B28" s="170">
        <v>26</v>
      </c>
      <c r="C28" s="170">
        <v>21</v>
      </c>
      <c r="D28" s="170">
        <v>200000</v>
      </c>
      <c r="E28" s="170">
        <v>816</v>
      </c>
    </row>
    <row r="29" spans="1:5" ht="12" customHeight="1" x14ac:dyDescent="0.15">
      <c r="A29" s="57">
        <v>1200000</v>
      </c>
      <c r="B29" s="170">
        <v>25</v>
      </c>
      <c r="C29" s="170">
        <v>27</v>
      </c>
      <c r="D29" s="170">
        <v>300000</v>
      </c>
      <c r="E29" s="170">
        <v>834</v>
      </c>
    </row>
    <row r="30" spans="1:5" ht="12" customHeight="1" x14ac:dyDescent="0.15">
      <c r="A30" s="57">
        <v>1500000</v>
      </c>
      <c r="B30" s="170">
        <v>24</v>
      </c>
      <c r="C30" s="170">
        <v>36</v>
      </c>
      <c r="D30" s="170">
        <v>500000</v>
      </c>
      <c r="E30" s="170">
        <v>861</v>
      </c>
    </row>
    <row r="31" spans="1:5" ht="12" customHeight="1" x14ac:dyDescent="0.15">
      <c r="A31" s="57">
        <v>2000000</v>
      </c>
      <c r="B31" s="170">
        <v>23</v>
      </c>
      <c r="C31" s="170">
        <v>29</v>
      </c>
      <c r="D31" s="170">
        <v>500000</v>
      </c>
      <c r="E31" s="170">
        <v>889</v>
      </c>
    </row>
    <row r="32" spans="1:5" ht="12" customHeight="1" x14ac:dyDescent="0.15">
      <c r="A32" s="57">
        <v>2500000</v>
      </c>
      <c r="B32" s="170">
        <v>22</v>
      </c>
      <c r="C32" s="170">
        <v>25</v>
      </c>
      <c r="D32" s="170">
        <v>500000</v>
      </c>
      <c r="E32" s="170">
        <v>909</v>
      </c>
    </row>
    <row r="33" spans="1:5" ht="12" customHeight="1" x14ac:dyDescent="0.15">
      <c r="A33" s="57">
        <v>3000000</v>
      </c>
      <c r="B33" s="170">
        <v>21</v>
      </c>
      <c r="C33" s="170">
        <v>41</v>
      </c>
      <c r="D33" s="170">
        <v>1000000</v>
      </c>
      <c r="E33" s="170">
        <v>936</v>
      </c>
    </row>
    <row r="34" spans="1:5" ht="12" customHeight="1" x14ac:dyDescent="0.15">
      <c r="A34" s="57">
        <v>4000000</v>
      </c>
      <c r="B34" s="170">
        <v>20</v>
      </c>
      <c r="C34" s="170">
        <v>34</v>
      </c>
      <c r="D34" s="170">
        <v>1000000</v>
      </c>
      <c r="E34" s="170">
        <v>964</v>
      </c>
    </row>
    <row r="35" spans="1:5" ht="12" customHeight="1" x14ac:dyDescent="0.15">
      <c r="A35" s="57">
        <v>5000000</v>
      </c>
      <c r="B35" s="170">
        <v>19</v>
      </c>
      <c r="C35" s="170">
        <v>29</v>
      </c>
      <c r="D35" s="170">
        <v>1000000</v>
      </c>
      <c r="E35" s="170">
        <v>989</v>
      </c>
    </row>
    <row r="36" spans="1:5" ht="12" customHeight="1" x14ac:dyDescent="0.15">
      <c r="A36" s="57">
        <v>6000000</v>
      </c>
      <c r="B36" s="170">
        <v>18</v>
      </c>
      <c r="C36" s="170">
        <v>47</v>
      </c>
      <c r="D36" s="170">
        <v>2000000</v>
      </c>
      <c r="E36" s="170">
        <v>1022</v>
      </c>
    </row>
    <row r="37" spans="1:5" ht="12" customHeight="1" x14ac:dyDescent="0.15">
      <c r="A37" s="57">
        <v>8000000</v>
      </c>
      <c r="B37" s="170">
        <v>17</v>
      </c>
      <c r="C37" s="170">
        <v>39</v>
      </c>
      <c r="D37" s="170">
        <v>2000000</v>
      </c>
      <c r="E37" s="170">
        <v>1054</v>
      </c>
    </row>
    <row r="38" spans="1:5" ht="12" customHeight="1" x14ac:dyDescent="0.15">
      <c r="A38" s="57">
        <v>10000000</v>
      </c>
      <c r="B38" s="170">
        <v>16</v>
      </c>
      <c r="C38" s="170">
        <v>33</v>
      </c>
      <c r="D38" s="170">
        <v>2000000</v>
      </c>
      <c r="E38" s="170">
        <v>1084</v>
      </c>
    </row>
    <row r="39" spans="1:5" ht="12" customHeight="1" x14ac:dyDescent="0.15">
      <c r="A39" s="57">
        <v>12000000</v>
      </c>
      <c r="B39" s="170">
        <v>15</v>
      </c>
      <c r="C39" s="170">
        <v>42</v>
      </c>
      <c r="D39" s="170">
        <v>3000000</v>
      </c>
      <c r="E39" s="170">
        <v>1114</v>
      </c>
    </row>
    <row r="40" spans="1:5" ht="12" customHeight="1" x14ac:dyDescent="0.15">
      <c r="A40" s="57">
        <v>15000000</v>
      </c>
      <c r="B40" s="170">
        <v>14</v>
      </c>
      <c r="C40" s="170">
        <v>57</v>
      </c>
      <c r="D40" s="170">
        <v>5000000</v>
      </c>
      <c r="E40" s="170">
        <v>1153</v>
      </c>
    </row>
    <row r="41" spans="1:5" ht="12" customHeight="1" x14ac:dyDescent="0.15">
      <c r="A41" s="57">
        <v>20000000</v>
      </c>
      <c r="B41" s="170">
        <v>13</v>
      </c>
      <c r="C41" s="170">
        <v>47</v>
      </c>
      <c r="D41" s="170">
        <v>5000000</v>
      </c>
      <c r="E41" s="170">
        <v>1193</v>
      </c>
    </row>
    <row r="42" spans="1:5" ht="12" customHeight="1" x14ac:dyDescent="0.15">
      <c r="A42" s="57">
        <v>25000000</v>
      </c>
      <c r="B42" s="170">
        <v>12</v>
      </c>
      <c r="C42" s="170">
        <v>39</v>
      </c>
      <c r="D42" s="170">
        <v>5000000</v>
      </c>
      <c r="E42" s="170">
        <v>1233</v>
      </c>
    </row>
    <row r="43" spans="1:5" ht="12" customHeight="1" x14ac:dyDescent="0.15">
      <c r="A43" s="57">
        <v>30000000</v>
      </c>
      <c r="B43" s="170">
        <v>11</v>
      </c>
      <c r="C43" s="170">
        <v>66</v>
      </c>
      <c r="D43" s="170">
        <v>10000000</v>
      </c>
      <c r="E43" s="170">
        <v>1269</v>
      </c>
    </row>
    <row r="44" spans="1:5" ht="12" customHeight="1" x14ac:dyDescent="0.15">
      <c r="A44" s="57">
        <v>40000000</v>
      </c>
      <c r="B44" s="170">
        <v>10</v>
      </c>
      <c r="C44" s="170">
        <v>53</v>
      </c>
      <c r="D44" s="170">
        <v>10000000</v>
      </c>
      <c r="E44" s="170">
        <v>1321</v>
      </c>
    </row>
    <row r="45" spans="1:5" ht="12" customHeight="1" x14ac:dyDescent="0.15">
      <c r="A45" s="57">
        <v>50000000</v>
      </c>
      <c r="B45" s="170">
        <v>9</v>
      </c>
      <c r="C45" s="170">
        <v>46</v>
      </c>
      <c r="D45" s="170">
        <v>10000000</v>
      </c>
      <c r="E45" s="170">
        <v>1356</v>
      </c>
    </row>
    <row r="46" spans="1:5" ht="12" customHeight="1" x14ac:dyDescent="0.15">
      <c r="A46" s="57">
        <v>60000000</v>
      </c>
      <c r="B46" s="170">
        <v>8</v>
      </c>
      <c r="C46" s="170">
        <v>75</v>
      </c>
      <c r="D46" s="170">
        <v>20000000</v>
      </c>
      <c r="E46" s="170">
        <v>1407</v>
      </c>
    </row>
    <row r="47" spans="1:5" ht="12" customHeight="1" x14ac:dyDescent="0.15">
      <c r="A47" s="57">
        <v>80000000</v>
      </c>
      <c r="B47" s="170">
        <v>7</v>
      </c>
      <c r="C47" s="170">
        <v>61</v>
      </c>
      <c r="D47" s="170">
        <v>20000000</v>
      </c>
      <c r="E47" s="170">
        <v>1463</v>
      </c>
    </row>
    <row r="48" spans="1:5" ht="12" customHeight="1" x14ac:dyDescent="0.15">
      <c r="A48" s="57">
        <v>100000000</v>
      </c>
      <c r="B48" s="170">
        <v>6</v>
      </c>
      <c r="C48" s="170">
        <v>53</v>
      </c>
      <c r="D48" s="170">
        <v>20000000</v>
      </c>
      <c r="E48" s="170">
        <v>1503</v>
      </c>
    </row>
    <row r="49" spans="1:5" ht="12" customHeight="1" x14ac:dyDescent="0.15">
      <c r="A49" s="57">
        <v>120000000</v>
      </c>
      <c r="B49" s="170">
        <v>5</v>
      </c>
      <c r="C49" s="57">
        <v>66</v>
      </c>
      <c r="D49" s="57">
        <v>30000000</v>
      </c>
      <c r="E49" s="57">
        <v>1557</v>
      </c>
    </row>
    <row r="50" spans="1:5" ht="12" customHeight="1" x14ac:dyDescent="0.15">
      <c r="A50" s="57">
        <v>150000000</v>
      </c>
      <c r="B50" s="170">
        <v>4</v>
      </c>
      <c r="C50" s="57">
        <v>91</v>
      </c>
      <c r="D50" s="57">
        <v>50000000</v>
      </c>
      <c r="E50" s="57">
        <v>1614</v>
      </c>
    </row>
    <row r="51" spans="1:5" ht="12" customHeight="1" x14ac:dyDescent="0.15">
      <c r="A51" s="57">
        <v>200000000</v>
      </c>
      <c r="B51" s="170">
        <v>3</v>
      </c>
      <c r="C51" s="57">
        <v>73</v>
      </c>
      <c r="D51" s="57">
        <v>50000000</v>
      </c>
      <c r="E51" s="57">
        <v>1686</v>
      </c>
    </row>
    <row r="52" spans="1:5" ht="12" customHeight="1" x14ac:dyDescent="0.15">
      <c r="A52" s="57">
        <v>250000000</v>
      </c>
      <c r="B52" s="170">
        <v>2</v>
      </c>
      <c r="C52" s="57">
        <v>63</v>
      </c>
      <c r="D52" s="57">
        <v>50000000</v>
      </c>
      <c r="E52" s="57">
        <v>1736</v>
      </c>
    </row>
    <row r="53" spans="1:5" ht="12" customHeight="1" x14ac:dyDescent="0.15">
      <c r="A53" s="57">
        <v>300000000</v>
      </c>
      <c r="B53" s="57">
        <v>1</v>
      </c>
      <c r="C53" s="57">
        <v>1</v>
      </c>
      <c r="D53" s="57">
        <v>1</v>
      </c>
      <c r="E53" s="57">
        <v>2114</v>
      </c>
    </row>
  </sheetData>
  <sheetProtection algorithmName="SHA-512" hashValue="1mO/10zVf1xylQdAuAM+JARskPYxSH/KFL6NoDBUSf1pB3IsTGPNjvP28vdtbDeyYBHlX5ZnGaD8VTF04AKNWQ==" saltValue="KBZMAY1z6mKwXK4qvXE6tw==" spinCount="100000" sheet="1" selectLockedCells="1" selectUnlockedCells="1"/>
  <mergeCells count="1">
    <mergeCell ref="C5:E5"/>
  </mergeCells>
  <phoneticPr fontId="2"/>
  <pageMargins left="0.75" right="0.75" top="1" bottom="1" header="0.51200000000000001" footer="0.51200000000000001"/>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6">
    <tabColor indexed="46"/>
  </sheetPr>
  <dimension ref="A1:E43"/>
  <sheetViews>
    <sheetView workbookViewId="0"/>
  </sheetViews>
  <sheetFormatPr defaultColWidth="9" defaultRowHeight="12" customHeight="1" x14ac:dyDescent="0.15"/>
  <cols>
    <col min="1" max="1" width="18" style="57" bestFit="1" customWidth="1"/>
    <col min="2" max="2" width="7.5" style="66" bestFit="1" customWidth="1"/>
    <col min="3" max="3" width="4.875" style="66" customWidth="1"/>
    <col min="4" max="4" width="9.25" style="66" bestFit="1" customWidth="1"/>
    <col min="5" max="5" width="9" style="66"/>
    <col min="6" max="16384" width="9" style="59"/>
  </cols>
  <sheetData>
    <row r="1" spans="1:5" ht="12" customHeight="1" x14ac:dyDescent="0.15">
      <c r="A1" s="57" t="s">
        <v>770</v>
      </c>
      <c r="B1" s="66" t="s">
        <v>427</v>
      </c>
    </row>
    <row r="2" spans="1:5" ht="12" customHeight="1" x14ac:dyDescent="0.15">
      <c r="A2" s="57" t="s">
        <v>242</v>
      </c>
      <c r="B2" s="66">
        <f>'経営状況・自己資本額、平均利益額'!K29</f>
        <v>6097</v>
      </c>
    </row>
    <row r="3" spans="1:5" ht="12" customHeight="1" x14ac:dyDescent="0.15">
      <c r="A3" s="67" t="s">
        <v>34</v>
      </c>
      <c r="B3" s="66">
        <f>IF(B2&gt;=A43,E43,INT(C3*B2/D3+E3))</f>
        <v>594</v>
      </c>
      <c r="C3" s="66">
        <f>VLOOKUP($B$2,$A$7:$E$43,3)</f>
        <v>78</v>
      </c>
      <c r="D3" s="66">
        <f>VLOOKUP($B$2,$A$7:$E$43,4)</f>
        <v>10000</v>
      </c>
      <c r="E3" s="66">
        <f>VLOOKUP($B$2,$A$7:$E$43,5)</f>
        <v>547</v>
      </c>
    </row>
    <row r="5" spans="1:5" ht="12" customHeight="1" x14ac:dyDescent="0.15">
      <c r="B5" s="166"/>
      <c r="C5" s="734"/>
      <c r="D5" s="735"/>
      <c r="E5" s="735"/>
    </row>
    <row r="6" spans="1:5" ht="12" customHeight="1" x14ac:dyDescent="0.15">
      <c r="A6" s="57" t="s">
        <v>242</v>
      </c>
      <c r="B6" s="169" t="s">
        <v>33</v>
      </c>
      <c r="C6" s="169" t="s">
        <v>128</v>
      </c>
      <c r="D6" s="169" t="s">
        <v>127</v>
      </c>
      <c r="E6" s="169" t="s">
        <v>129</v>
      </c>
    </row>
    <row r="7" spans="1:5" ht="12" customHeight="1" x14ac:dyDescent="0.15">
      <c r="A7" s="57">
        <v>0</v>
      </c>
      <c r="B7" s="170">
        <v>37</v>
      </c>
      <c r="C7" s="170">
        <v>78</v>
      </c>
      <c r="D7" s="170">
        <v>10000</v>
      </c>
      <c r="E7" s="170">
        <v>547</v>
      </c>
    </row>
    <row r="8" spans="1:5" ht="12" customHeight="1" x14ac:dyDescent="0.15">
      <c r="A8" s="57">
        <v>10000</v>
      </c>
      <c r="B8" s="170">
        <v>36</v>
      </c>
      <c r="C8" s="170">
        <v>6</v>
      </c>
      <c r="D8" s="170">
        <v>2000</v>
      </c>
      <c r="E8" s="170">
        <v>595</v>
      </c>
    </row>
    <row r="9" spans="1:5" ht="12" customHeight="1" x14ac:dyDescent="0.15">
      <c r="A9" s="57">
        <v>12000</v>
      </c>
      <c r="B9" s="170">
        <v>35</v>
      </c>
      <c r="C9" s="170">
        <v>7</v>
      </c>
      <c r="D9" s="170">
        <v>3000</v>
      </c>
      <c r="E9" s="170">
        <v>603</v>
      </c>
    </row>
    <row r="10" spans="1:5" ht="12" customHeight="1" x14ac:dyDescent="0.15">
      <c r="A10" s="57">
        <v>15000</v>
      </c>
      <c r="B10" s="170">
        <v>34</v>
      </c>
      <c r="C10" s="170">
        <v>11</v>
      </c>
      <c r="D10" s="170">
        <v>5000</v>
      </c>
      <c r="E10" s="170">
        <v>605</v>
      </c>
    </row>
    <row r="11" spans="1:5" ht="12" customHeight="1" x14ac:dyDescent="0.15">
      <c r="A11" s="57">
        <v>20000</v>
      </c>
      <c r="B11" s="170">
        <v>33</v>
      </c>
      <c r="C11" s="170">
        <v>10</v>
      </c>
      <c r="D11" s="170">
        <v>5000</v>
      </c>
      <c r="E11" s="170">
        <v>609</v>
      </c>
    </row>
    <row r="12" spans="1:5" ht="12" customHeight="1" x14ac:dyDescent="0.15">
      <c r="A12" s="57">
        <v>25000</v>
      </c>
      <c r="B12" s="170">
        <v>32</v>
      </c>
      <c r="C12" s="170">
        <v>8</v>
      </c>
      <c r="D12" s="170">
        <v>5000</v>
      </c>
      <c r="E12" s="170">
        <v>619</v>
      </c>
    </row>
    <row r="13" spans="1:5" ht="12" customHeight="1" x14ac:dyDescent="0.15">
      <c r="A13" s="57">
        <v>30000</v>
      </c>
      <c r="B13" s="170">
        <v>31</v>
      </c>
      <c r="C13" s="170">
        <v>15</v>
      </c>
      <c r="D13" s="170">
        <v>10000</v>
      </c>
      <c r="E13" s="170">
        <v>622</v>
      </c>
    </row>
    <row r="14" spans="1:5" ht="12" customHeight="1" x14ac:dyDescent="0.15">
      <c r="A14" s="57">
        <v>40000</v>
      </c>
      <c r="B14" s="170">
        <v>30</v>
      </c>
      <c r="C14" s="170">
        <v>12</v>
      </c>
      <c r="D14" s="170">
        <v>10000</v>
      </c>
      <c r="E14" s="170">
        <v>634</v>
      </c>
    </row>
    <row r="15" spans="1:5" ht="12" customHeight="1" x14ac:dyDescent="0.15">
      <c r="A15" s="57">
        <v>50000</v>
      </c>
      <c r="B15" s="170">
        <v>29</v>
      </c>
      <c r="C15" s="170">
        <v>12</v>
      </c>
      <c r="D15" s="170">
        <v>10000</v>
      </c>
      <c r="E15" s="170">
        <v>634</v>
      </c>
    </row>
    <row r="16" spans="1:5" ht="12" customHeight="1" x14ac:dyDescent="0.15">
      <c r="A16" s="57">
        <v>60000</v>
      </c>
      <c r="B16" s="170">
        <v>28</v>
      </c>
      <c r="C16" s="170">
        <v>19</v>
      </c>
      <c r="D16" s="170">
        <v>20000</v>
      </c>
      <c r="E16" s="170">
        <v>649</v>
      </c>
    </row>
    <row r="17" spans="1:5" ht="12" customHeight="1" x14ac:dyDescent="0.15">
      <c r="A17" s="57">
        <v>80000</v>
      </c>
      <c r="B17" s="170">
        <v>27</v>
      </c>
      <c r="C17" s="170">
        <v>16</v>
      </c>
      <c r="D17" s="170">
        <v>20000</v>
      </c>
      <c r="E17" s="170">
        <v>661</v>
      </c>
    </row>
    <row r="18" spans="1:5" ht="12" customHeight="1" x14ac:dyDescent="0.15">
      <c r="A18" s="57">
        <v>100000</v>
      </c>
      <c r="B18" s="170">
        <v>26</v>
      </c>
      <c r="C18" s="170">
        <v>15</v>
      </c>
      <c r="D18" s="170">
        <v>20000</v>
      </c>
      <c r="E18" s="170">
        <v>666</v>
      </c>
    </row>
    <row r="19" spans="1:5" ht="12" customHeight="1" x14ac:dyDescent="0.15">
      <c r="A19" s="57">
        <v>120000</v>
      </c>
      <c r="B19" s="170">
        <v>25</v>
      </c>
      <c r="C19" s="170">
        <v>20</v>
      </c>
      <c r="D19" s="170">
        <v>30000</v>
      </c>
      <c r="E19" s="170">
        <v>676</v>
      </c>
    </row>
    <row r="20" spans="1:5" ht="12" customHeight="1" x14ac:dyDescent="0.15">
      <c r="A20" s="57">
        <v>150000</v>
      </c>
      <c r="B20" s="170">
        <v>24</v>
      </c>
      <c r="C20" s="170">
        <v>27</v>
      </c>
      <c r="D20" s="170">
        <v>50000</v>
      </c>
      <c r="E20" s="170">
        <v>695</v>
      </c>
    </row>
    <row r="21" spans="1:5" ht="12" customHeight="1" x14ac:dyDescent="0.15">
      <c r="A21" s="57">
        <v>200000</v>
      </c>
      <c r="B21" s="170">
        <v>23</v>
      </c>
      <c r="C21" s="170">
        <v>24</v>
      </c>
      <c r="D21" s="170">
        <v>50000</v>
      </c>
      <c r="E21" s="170">
        <v>707</v>
      </c>
    </row>
    <row r="22" spans="1:5" ht="12" customHeight="1" x14ac:dyDescent="0.15">
      <c r="A22" s="57">
        <v>250000</v>
      </c>
      <c r="B22" s="170">
        <v>22</v>
      </c>
      <c r="C22" s="170">
        <v>21</v>
      </c>
      <c r="D22" s="170">
        <v>50000</v>
      </c>
      <c r="E22" s="170">
        <v>722</v>
      </c>
    </row>
    <row r="23" spans="1:5" ht="12" customHeight="1" x14ac:dyDescent="0.15">
      <c r="A23" s="57">
        <v>300000</v>
      </c>
      <c r="B23" s="170">
        <v>21</v>
      </c>
      <c r="C23" s="170">
        <v>37</v>
      </c>
      <c r="D23" s="170">
        <v>100000</v>
      </c>
      <c r="E23" s="170">
        <v>737</v>
      </c>
    </row>
    <row r="24" spans="1:5" ht="12" customHeight="1" x14ac:dyDescent="0.15">
      <c r="A24" s="57">
        <v>400000</v>
      </c>
      <c r="B24" s="170">
        <v>20</v>
      </c>
      <c r="C24" s="170">
        <v>32</v>
      </c>
      <c r="D24" s="170">
        <v>100000</v>
      </c>
      <c r="E24" s="170">
        <v>757</v>
      </c>
    </row>
    <row r="25" spans="1:5" ht="12" customHeight="1" x14ac:dyDescent="0.15">
      <c r="A25" s="57">
        <v>500000</v>
      </c>
      <c r="B25" s="170">
        <v>19</v>
      </c>
      <c r="C25" s="170">
        <v>28</v>
      </c>
      <c r="D25" s="170">
        <v>100000</v>
      </c>
      <c r="E25" s="170">
        <v>777</v>
      </c>
    </row>
    <row r="26" spans="1:5" ht="12" customHeight="1" x14ac:dyDescent="0.15">
      <c r="A26" s="57">
        <v>600000</v>
      </c>
      <c r="B26" s="170">
        <v>18</v>
      </c>
      <c r="C26" s="170">
        <v>48</v>
      </c>
      <c r="D26" s="170">
        <v>200000</v>
      </c>
      <c r="E26" s="170">
        <v>801</v>
      </c>
    </row>
    <row r="27" spans="1:5" ht="12" customHeight="1" x14ac:dyDescent="0.15">
      <c r="A27" s="57">
        <v>800000</v>
      </c>
      <c r="B27" s="170">
        <v>17</v>
      </c>
      <c r="C27" s="170">
        <v>42</v>
      </c>
      <c r="D27" s="170">
        <v>200000</v>
      </c>
      <c r="E27" s="170">
        <v>825</v>
      </c>
    </row>
    <row r="28" spans="1:5" ht="12" customHeight="1" x14ac:dyDescent="0.15">
      <c r="A28" s="57">
        <v>1000000</v>
      </c>
      <c r="B28" s="170">
        <v>16</v>
      </c>
      <c r="C28" s="170">
        <v>37</v>
      </c>
      <c r="D28" s="170">
        <v>200000</v>
      </c>
      <c r="E28" s="170">
        <v>850</v>
      </c>
    </row>
    <row r="29" spans="1:5" ht="12" customHeight="1" x14ac:dyDescent="0.15">
      <c r="A29" s="57">
        <v>1200000</v>
      </c>
      <c r="B29" s="170">
        <v>15</v>
      </c>
      <c r="C29" s="170">
        <v>48</v>
      </c>
      <c r="D29" s="170">
        <v>300000</v>
      </c>
      <c r="E29" s="170">
        <v>880</v>
      </c>
    </row>
    <row r="30" spans="1:5" ht="12" customHeight="1" x14ac:dyDescent="0.15">
      <c r="A30" s="57">
        <v>1500000</v>
      </c>
      <c r="B30" s="170">
        <v>14</v>
      </c>
      <c r="C30" s="170">
        <v>70</v>
      </c>
      <c r="D30" s="170">
        <v>500000</v>
      </c>
      <c r="E30" s="170">
        <v>910</v>
      </c>
    </row>
    <row r="31" spans="1:5" ht="12" customHeight="1" x14ac:dyDescent="0.15">
      <c r="A31" s="57">
        <v>2000000</v>
      </c>
      <c r="B31" s="170">
        <v>13</v>
      </c>
      <c r="C31" s="170">
        <v>60</v>
      </c>
      <c r="D31" s="170">
        <v>500000</v>
      </c>
      <c r="E31" s="170">
        <v>950</v>
      </c>
    </row>
    <row r="32" spans="1:5" ht="12" customHeight="1" x14ac:dyDescent="0.15">
      <c r="A32" s="57">
        <v>2500000</v>
      </c>
      <c r="B32" s="170">
        <v>12</v>
      </c>
      <c r="C32" s="170">
        <v>54</v>
      </c>
      <c r="D32" s="170">
        <v>500000</v>
      </c>
      <c r="E32" s="170">
        <v>980</v>
      </c>
    </row>
    <row r="33" spans="1:5" ht="12" customHeight="1" x14ac:dyDescent="0.15">
      <c r="A33" s="57">
        <v>3000000</v>
      </c>
      <c r="B33" s="170">
        <v>11</v>
      </c>
      <c r="C33" s="170">
        <v>92</v>
      </c>
      <c r="D33" s="170">
        <v>1000000</v>
      </c>
      <c r="E33" s="170">
        <v>1028</v>
      </c>
    </row>
    <row r="34" spans="1:5" ht="12" customHeight="1" x14ac:dyDescent="0.15">
      <c r="A34" s="57">
        <v>4000000</v>
      </c>
      <c r="B34" s="170">
        <v>10</v>
      </c>
      <c r="C34" s="170">
        <v>79</v>
      </c>
      <c r="D34" s="170">
        <v>1000000</v>
      </c>
      <c r="E34" s="170">
        <v>1080</v>
      </c>
    </row>
    <row r="35" spans="1:5" ht="12" customHeight="1" x14ac:dyDescent="0.15">
      <c r="A35" s="57">
        <v>5000000</v>
      </c>
      <c r="B35" s="170">
        <v>9</v>
      </c>
      <c r="C35" s="170">
        <v>70</v>
      </c>
      <c r="D35" s="170">
        <v>1000000</v>
      </c>
      <c r="E35" s="170">
        <v>1125</v>
      </c>
    </row>
    <row r="36" spans="1:5" ht="12" customHeight="1" x14ac:dyDescent="0.15">
      <c r="A36" s="57">
        <v>6000000</v>
      </c>
      <c r="B36" s="170">
        <v>8</v>
      </c>
      <c r="C36" s="170">
        <v>122</v>
      </c>
      <c r="D36" s="170">
        <v>2000000</v>
      </c>
      <c r="E36" s="170">
        <v>1179</v>
      </c>
    </row>
    <row r="37" spans="1:5" ht="12" customHeight="1" x14ac:dyDescent="0.15">
      <c r="A37" s="57">
        <v>8000000</v>
      </c>
      <c r="B37" s="170">
        <v>7</v>
      </c>
      <c r="C37" s="170">
        <v>104</v>
      </c>
      <c r="D37" s="170">
        <v>2000000</v>
      </c>
      <c r="E37" s="170">
        <v>1251</v>
      </c>
    </row>
    <row r="38" spans="1:5" ht="12" customHeight="1" x14ac:dyDescent="0.15">
      <c r="A38" s="57">
        <v>10000000</v>
      </c>
      <c r="B38" s="170">
        <v>6</v>
      </c>
      <c r="C38" s="170">
        <v>93</v>
      </c>
      <c r="D38" s="170">
        <v>2000000</v>
      </c>
      <c r="E38" s="170">
        <v>1306</v>
      </c>
    </row>
    <row r="39" spans="1:5" ht="12" customHeight="1" x14ac:dyDescent="0.15">
      <c r="A39" s="57">
        <v>12000000</v>
      </c>
      <c r="B39" s="170">
        <v>5</v>
      </c>
      <c r="C39" s="170">
        <v>123</v>
      </c>
      <c r="D39" s="170">
        <v>3000000</v>
      </c>
      <c r="E39" s="170">
        <v>1372</v>
      </c>
    </row>
    <row r="40" spans="1:5" ht="12" customHeight="1" x14ac:dyDescent="0.15">
      <c r="A40" s="57">
        <v>15000000</v>
      </c>
      <c r="B40" s="170">
        <v>4</v>
      </c>
      <c r="C40" s="170">
        <v>175</v>
      </c>
      <c r="D40" s="170">
        <v>5000000</v>
      </c>
      <c r="E40" s="170">
        <v>1462</v>
      </c>
    </row>
    <row r="41" spans="1:5" ht="12" customHeight="1" x14ac:dyDescent="0.15">
      <c r="A41" s="57">
        <v>20000000</v>
      </c>
      <c r="B41" s="170">
        <v>3</v>
      </c>
      <c r="C41" s="170">
        <v>151</v>
      </c>
      <c r="D41" s="170">
        <v>5000000</v>
      </c>
      <c r="E41" s="170">
        <v>1558</v>
      </c>
    </row>
    <row r="42" spans="1:5" ht="12" customHeight="1" x14ac:dyDescent="0.15">
      <c r="A42" s="57">
        <v>25000000</v>
      </c>
      <c r="B42" s="170">
        <v>2</v>
      </c>
      <c r="C42" s="170">
        <v>134</v>
      </c>
      <c r="D42" s="170">
        <v>5000000</v>
      </c>
      <c r="E42" s="170">
        <v>1643</v>
      </c>
    </row>
    <row r="43" spans="1:5" ht="12" customHeight="1" x14ac:dyDescent="0.15">
      <c r="A43" s="57">
        <v>30000000</v>
      </c>
      <c r="B43" s="57">
        <v>1</v>
      </c>
      <c r="C43" s="170">
        <v>1</v>
      </c>
      <c r="D43" s="170">
        <v>1</v>
      </c>
      <c r="E43" s="170">
        <v>2447</v>
      </c>
    </row>
  </sheetData>
  <sheetProtection algorithmName="SHA-512" hashValue="L3jOxA5N6ZvIIH7nuufj7BhEIIoFRKDbf6iPLAJcojT/8MoKHtTQZ7H71S79YMvSBq2t8YLJdXmxwTONKsNJ4A==" saltValue="kWkadXZ4SK4TK7iSHEau+A==" spinCount="100000" sheet="1" selectLockedCells="1" selectUnlockedCells="1"/>
  <mergeCells count="1">
    <mergeCell ref="C5:E5"/>
  </mergeCells>
  <phoneticPr fontId="2"/>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W27"/>
  <sheetViews>
    <sheetView showGridLines="0" showRowColHeaders="0" workbookViewId="0">
      <selection activeCell="R27" sqref="R27:W27"/>
    </sheetView>
  </sheetViews>
  <sheetFormatPr defaultColWidth="3.625" defaultRowHeight="18.95" customHeight="1" x14ac:dyDescent="0.15"/>
  <cols>
    <col min="1" max="1" width="1.625" style="236" customWidth="1"/>
    <col min="2" max="16384" width="3.625" style="236"/>
  </cols>
  <sheetData>
    <row r="2" spans="2:3" ht="18.95" customHeight="1" x14ac:dyDescent="0.15">
      <c r="B2" s="236" t="s">
        <v>712</v>
      </c>
    </row>
    <row r="4" spans="2:3" ht="18.95" customHeight="1" x14ac:dyDescent="0.15">
      <c r="B4" s="236" t="s">
        <v>704</v>
      </c>
    </row>
    <row r="6" spans="2:3" ht="18.95" customHeight="1" x14ac:dyDescent="0.15">
      <c r="B6" s="236" t="s">
        <v>703</v>
      </c>
      <c r="C6" s="236" t="s">
        <v>713</v>
      </c>
    </row>
    <row r="8" spans="2:3" ht="18.95" customHeight="1" x14ac:dyDescent="0.15">
      <c r="C8" s="236" t="s">
        <v>717</v>
      </c>
    </row>
    <row r="10" spans="2:3" ht="18.95" customHeight="1" x14ac:dyDescent="0.15">
      <c r="B10" s="236" t="s">
        <v>705</v>
      </c>
      <c r="C10" s="236" t="s">
        <v>714</v>
      </c>
    </row>
    <row r="12" spans="2:3" ht="18.95" customHeight="1" x14ac:dyDescent="0.15">
      <c r="C12" s="236" t="s">
        <v>718</v>
      </c>
    </row>
    <row r="14" spans="2:3" ht="18.95" customHeight="1" x14ac:dyDescent="0.15">
      <c r="B14" s="236" t="s">
        <v>706</v>
      </c>
      <c r="C14" s="236" t="s">
        <v>719</v>
      </c>
    </row>
    <row r="16" spans="2:3" ht="18.95" customHeight="1" x14ac:dyDescent="0.15">
      <c r="C16" s="236" t="s">
        <v>721</v>
      </c>
    </row>
    <row r="17" spans="2:23" ht="18.95" customHeight="1" x14ac:dyDescent="0.15">
      <c r="C17" s="236" t="s">
        <v>722</v>
      </c>
    </row>
    <row r="19" spans="2:23" ht="18.95" customHeight="1" x14ac:dyDescent="0.15">
      <c r="B19" s="236" t="s">
        <v>707</v>
      </c>
      <c r="C19" s="236" t="s">
        <v>720</v>
      </c>
    </row>
    <row r="21" spans="2:23" ht="18.95" customHeight="1" x14ac:dyDescent="0.15">
      <c r="C21" s="236" t="s">
        <v>723</v>
      </c>
    </row>
    <row r="23" spans="2:23" ht="18.95" customHeight="1" x14ac:dyDescent="0.15">
      <c r="B23" s="236" t="s">
        <v>715</v>
      </c>
      <c r="C23" s="236" t="s">
        <v>716</v>
      </c>
    </row>
    <row r="25" spans="2:23" ht="18.95" customHeight="1" x14ac:dyDescent="0.15">
      <c r="C25" s="236" t="s">
        <v>724</v>
      </c>
    </row>
    <row r="27" spans="2:23" ht="18.95" customHeight="1" x14ac:dyDescent="0.15">
      <c r="B27" s="236" t="s">
        <v>708</v>
      </c>
      <c r="R27" s="391" t="s">
        <v>709</v>
      </c>
      <c r="S27" s="391"/>
      <c r="T27" s="391"/>
      <c r="U27" s="391"/>
      <c r="V27" s="391"/>
      <c r="W27" s="391"/>
    </row>
  </sheetData>
  <sheetProtection algorithmName="SHA-512" hashValue="vQCmwsKGTE2JfMyG69F44TkoIBtfW8Z3KDONkWfyHf0zDR+no9JpYPMhLqTaLqs3Dt9NhAQsCumoBsADuZsN9g==" saltValue="T30WBO2CfHSPALGq5Q0a0Q==" spinCount="100000" sheet="1" objects="1" scenarios="1" selectLockedCells="1"/>
  <mergeCells count="1">
    <mergeCell ref="R27:W27"/>
  </mergeCells>
  <phoneticPr fontId="2"/>
  <hyperlinks>
    <hyperlink ref="R27:W27" r:id="rId1" display="こちら参照してください" xr:uid="{00000000-0004-0000-0100-000000000000}"/>
  </hyperlinks>
  <pageMargins left="0.47244094488188981" right="0.19685039370078741" top="0.59055118110236227" bottom="0.59055118110236227" header="0.31496062992125984" footer="0.31496062992125984"/>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indexed="46"/>
  </sheetPr>
  <dimension ref="A1:E32"/>
  <sheetViews>
    <sheetView workbookViewId="0"/>
  </sheetViews>
  <sheetFormatPr defaultColWidth="9" defaultRowHeight="12" customHeight="1" x14ac:dyDescent="0.15"/>
  <cols>
    <col min="1" max="1" width="18" style="57" bestFit="1" customWidth="1"/>
    <col min="2" max="3" width="4.875" style="66" customWidth="1"/>
    <col min="4" max="5" width="9" style="66"/>
    <col min="6" max="16384" width="9" style="57"/>
  </cols>
  <sheetData>
    <row r="1" spans="1:5" ht="12" customHeight="1" x14ac:dyDescent="0.15">
      <c r="A1" s="57" t="s">
        <v>771</v>
      </c>
      <c r="B1" s="166"/>
      <c r="C1" s="734"/>
      <c r="D1" s="735"/>
      <c r="E1" s="735"/>
    </row>
    <row r="2" spans="1:5" ht="12" customHeight="1" x14ac:dyDescent="0.15">
      <c r="A2" s="57" t="s">
        <v>206</v>
      </c>
      <c r="B2" s="169" t="s">
        <v>33</v>
      </c>
      <c r="C2" s="169" t="s">
        <v>128</v>
      </c>
      <c r="D2" s="169" t="s">
        <v>209</v>
      </c>
      <c r="E2" s="169" t="s">
        <v>129</v>
      </c>
    </row>
    <row r="3" spans="1:5" ht="12" customHeight="1" x14ac:dyDescent="0.15">
      <c r="A3" s="57">
        <v>0</v>
      </c>
      <c r="B3" s="170">
        <v>30</v>
      </c>
      <c r="C3" s="170">
        <v>62</v>
      </c>
      <c r="D3" s="170">
        <v>5</v>
      </c>
      <c r="E3" s="170">
        <v>510</v>
      </c>
    </row>
    <row r="4" spans="1:5" ht="12" customHeight="1" x14ac:dyDescent="0.15">
      <c r="A4" s="57">
        <v>5</v>
      </c>
      <c r="B4" s="170">
        <v>29</v>
      </c>
      <c r="C4" s="170">
        <v>63</v>
      </c>
      <c r="D4" s="170">
        <v>5</v>
      </c>
      <c r="E4" s="170">
        <v>509</v>
      </c>
    </row>
    <row r="5" spans="1:5" ht="12" customHeight="1" x14ac:dyDescent="0.15">
      <c r="A5" s="57">
        <v>10</v>
      </c>
      <c r="B5" s="170">
        <v>28</v>
      </c>
      <c r="C5" s="170">
        <v>62</v>
      </c>
      <c r="D5" s="170">
        <v>5</v>
      </c>
      <c r="E5" s="170">
        <v>511</v>
      </c>
    </row>
    <row r="6" spans="1:5" ht="12" customHeight="1" x14ac:dyDescent="0.15">
      <c r="A6" s="57">
        <v>15</v>
      </c>
      <c r="B6" s="170">
        <v>27</v>
      </c>
      <c r="C6" s="170">
        <v>63</v>
      </c>
      <c r="D6" s="170">
        <v>5</v>
      </c>
      <c r="E6" s="170">
        <v>508</v>
      </c>
    </row>
    <row r="7" spans="1:5" ht="12" customHeight="1" x14ac:dyDescent="0.15">
      <c r="A7" s="57">
        <v>20</v>
      </c>
      <c r="B7" s="170">
        <v>26</v>
      </c>
      <c r="C7" s="170">
        <v>62</v>
      </c>
      <c r="D7" s="170">
        <v>10</v>
      </c>
      <c r="E7" s="170">
        <v>636</v>
      </c>
    </row>
    <row r="8" spans="1:5" ht="12" customHeight="1" x14ac:dyDescent="0.15">
      <c r="A8" s="57">
        <v>30</v>
      </c>
      <c r="B8" s="170">
        <v>25</v>
      </c>
      <c r="C8" s="170">
        <v>63</v>
      </c>
      <c r="D8" s="170">
        <v>10</v>
      </c>
      <c r="E8" s="170">
        <v>633</v>
      </c>
    </row>
    <row r="9" spans="1:5" ht="12" customHeight="1" x14ac:dyDescent="0.15">
      <c r="A9" s="57">
        <v>40</v>
      </c>
      <c r="B9" s="170">
        <v>24</v>
      </c>
      <c r="C9" s="170">
        <v>63</v>
      </c>
      <c r="D9" s="170">
        <v>10</v>
      </c>
      <c r="E9" s="170">
        <v>633</v>
      </c>
    </row>
    <row r="10" spans="1:5" ht="12" customHeight="1" x14ac:dyDescent="0.15">
      <c r="A10" s="57">
        <v>50</v>
      </c>
      <c r="B10" s="170">
        <v>23</v>
      </c>
      <c r="C10" s="170">
        <v>62</v>
      </c>
      <c r="D10" s="170">
        <v>15</v>
      </c>
      <c r="E10" s="170">
        <v>742</v>
      </c>
    </row>
    <row r="11" spans="1:5" ht="12" customHeight="1" x14ac:dyDescent="0.15">
      <c r="A11" s="57">
        <v>65</v>
      </c>
      <c r="B11" s="170">
        <v>22</v>
      </c>
      <c r="C11" s="170">
        <v>62</v>
      </c>
      <c r="D11" s="170">
        <v>20</v>
      </c>
      <c r="E11" s="170">
        <v>810</v>
      </c>
    </row>
    <row r="12" spans="1:5" ht="12" customHeight="1" x14ac:dyDescent="0.15">
      <c r="A12" s="57">
        <v>85</v>
      </c>
      <c r="B12" s="170">
        <v>21</v>
      </c>
      <c r="C12" s="170">
        <v>63</v>
      </c>
      <c r="D12" s="170">
        <v>25</v>
      </c>
      <c r="E12" s="170">
        <v>860</v>
      </c>
    </row>
    <row r="13" spans="1:5" ht="12" customHeight="1" x14ac:dyDescent="0.15">
      <c r="A13" s="57">
        <v>110</v>
      </c>
      <c r="B13" s="170">
        <v>20</v>
      </c>
      <c r="C13" s="170">
        <v>63</v>
      </c>
      <c r="D13" s="170">
        <v>30</v>
      </c>
      <c r="E13" s="170">
        <v>907</v>
      </c>
    </row>
    <row r="14" spans="1:5" ht="12" customHeight="1" x14ac:dyDescent="0.15">
      <c r="A14" s="57">
        <v>140</v>
      </c>
      <c r="B14" s="170">
        <v>19</v>
      </c>
      <c r="C14" s="170">
        <v>62</v>
      </c>
      <c r="D14" s="170">
        <v>40</v>
      </c>
      <c r="E14" s="170">
        <v>984</v>
      </c>
    </row>
    <row r="15" spans="1:5" ht="12" customHeight="1" x14ac:dyDescent="0.15">
      <c r="A15" s="57">
        <v>180</v>
      </c>
      <c r="B15" s="170">
        <v>18</v>
      </c>
      <c r="C15" s="170">
        <v>62</v>
      </c>
      <c r="D15" s="170">
        <v>50</v>
      </c>
      <c r="E15" s="170">
        <v>1040</v>
      </c>
    </row>
    <row r="16" spans="1:5" ht="12" customHeight="1" x14ac:dyDescent="0.15">
      <c r="A16" s="57">
        <v>230</v>
      </c>
      <c r="B16" s="170">
        <v>17</v>
      </c>
      <c r="C16" s="170">
        <v>63</v>
      </c>
      <c r="D16" s="170">
        <v>70</v>
      </c>
      <c r="E16" s="170">
        <v>1119</v>
      </c>
    </row>
    <row r="17" spans="1:5" ht="12" customHeight="1" x14ac:dyDescent="0.15">
      <c r="A17" s="57">
        <v>300</v>
      </c>
      <c r="B17" s="170">
        <v>16</v>
      </c>
      <c r="C17" s="170">
        <v>62</v>
      </c>
      <c r="D17" s="170">
        <v>90</v>
      </c>
      <c r="E17" s="170">
        <v>1183</v>
      </c>
    </row>
    <row r="18" spans="1:5" ht="12" customHeight="1" x14ac:dyDescent="0.15">
      <c r="A18" s="57">
        <v>390</v>
      </c>
      <c r="B18" s="170">
        <v>15</v>
      </c>
      <c r="C18" s="170">
        <v>63</v>
      </c>
      <c r="D18" s="170">
        <v>120</v>
      </c>
      <c r="E18" s="170">
        <v>1247</v>
      </c>
    </row>
    <row r="19" spans="1:5" ht="12" customHeight="1" x14ac:dyDescent="0.15">
      <c r="A19" s="57">
        <v>510</v>
      </c>
      <c r="B19" s="170">
        <v>14</v>
      </c>
      <c r="C19" s="170">
        <v>62</v>
      </c>
      <c r="D19" s="170">
        <v>160</v>
      </c>
      <c r="E19" s="170">
        <v>1318</v>
      </c>
    </row>
    <row r="20" spans="1:5" ht="12" customHeight="1" x14ac:dyDescent="0.15">
      <c r="A20" s="57">
        <v>670</v>
      </c>
      <c r="B20" s="170">
        <v>13</v>
      </c>
      <c r="C20" s="170">
        <v>63</v>
      </c>
      <c r="D20" s="170">
        <v>200</v>
      </c>
      <c r="E20" s="170">
        <v>1367</v>
      </c>
    </row>
    <row r="21" spans="1:5" ht="12" customHeight="1" x14ac:dyDescent="0.15">
      <c r="A21" s="57">
        <v>870</v>
      </c>
      <c r="B21" s="170">
        <v>12</v>
      </c>
      <c r="C21" s="170">
        <v>62</v>
      </c>
      <c r="D21" s="170">
        <v>260</v>
      </c>
      <c r="E21" s="170">
        <v>1434</v>
      </c>
    </row>
    <row r="22" spans="1:5" ht="12" customHeight="1" x14ac:dyDescent="0.15">
      <c r="A22" s="57">
        <v>1130</v>
      </c>
      <c r="B22" s="170">
        <v>11</v>
      </c>
      <c r="C22" s="170">
        <v>63</v>
      </c>
      <c r="D22" s="170">
        <v>330</v>
      </c>
      <c r="E22" s="170">
        <v>1488</v>
      </c>
    </row>
    <row r="23" spans="1:5" ht="12" customHeight="1" x14ac:dyDescent="0.15">
      <c r="A23" s="57">
        <v>1460</v>
      </c>
      <c r="B23" s="170">
        <v>10</v>
      </c>
      <c r="C23" s="170">
        <v>63</v>
      </c>
      <c r="D23" s="170">
        <v>440</v>
      </c>
      <c r="E23" s="170">
        <v>1558</v>
      </c>
    </row>
    <row r="24" spans="1:5" ht="12" customHeight="1" x14ac:dyDescent="0.15">
      <c r="A24" s="57">
        <v>1900</v>
      </c>
      <c r="B24" s="170">
        <v>9</v>
      </c>
      <c r="C24" s="170">
        <v>62</v>
      </c>
      <c r="D24" s="170">
        <v>570</v>
      </c>
      <c r="E24" s="170">
        <v>1624</v>
      </c>
    </row>
    <row r="25" spans="1:5" ht="12" customHeight="1" x14ac:dyDescent="0.15">
      <c r="A25" s="57">
        <v>2470</v>
      </c>
      <c r="B25" s="170">
        <v>8</v>
      </c>
      <c r="C25" s="170">
        <v>62</v>
      </c>
      <c r="D25" s="170">
        <v>740</v>
      </c>
      <c r="E25" s="170">
        <v>1686</v>
      </c>
    </row>
    <row r="26" spans="1:5" ht="12" customHeight="1" x14ac:dyDescent="0.15">
      <c r="A26" s="57">
        <v>3210</v>
      </c>
      <c r="B26" s="170">
        <v>7</v>
      </c>
      <c r="C26" s="170">
        <v>63</v>
      </c>
      <c r="D26" s="170">
        <v>970</v>
      </c>
      <c r="E26" s="170">
        <v>1747</v>
      </c>
    </row>
    <row r="27" spans="1:5" ht="12" customHeight="1" x14ac:dyDescent="0.15">
      <c r="A27" s="57">
        <v>4180</v>
      </c>
      <c r="B27" s="170">
        <v>6</v>
      </c>
      <c r="C27" s="170">
        <v>63</v>
      </c>
      <c r="D27" s="170">
        <v>1250</v>
      </c>
      <c r="E27" s="170">
        <v>1808</v>
      </c>
    </row>
    <row r="28" spans="1:5" ht="12" customHeight="1" x14ac:dyDescent="0.15">
      <c r="A28" s="57">
        <v>5430</v>
      </c>
      <c r="B28" s="170">
        <v>5</v>
      </c>
      <c r="C28" s="170">
        <v>62</v>
      </c>
      <c r="D28" s="170">
        <v>1630</v>
      </c>
      <c r="E28" s="170">
        <v>1876</v>
      </c>
    </row>
    <row r="29" spans="1:5" ht="12" customHeight="1" x14ac:dyDescent="0.15">
      <c r="A29" s="57">
        <v>7060</v>
      </c>
      <c r="B29" s="170">
        <v>4</v>
      </c>
      <c r="C29" s="170">
        <v>62</v>
      </c>
      <c r="D29" s="170">
        <v>2120</v>
      </c>
      <c r="E29" s="170">
        <v>1939</v>
      </c>
    </row>
    <row r="30" spans="1:5" ht="12" customHeight="1" x14ac:dyDescent="0.15">
      <c r="A30" s="57">
        <v>9180</v>
      </c>
      <c r="B30" s="170">
        <v>3</v>
      </c>
      <c r="C30" s="170">
        <v>63</v>
      </c>
      <c r="D30" s="170">
        <v>2750</v>
      </c>
      <c r="E30" s="170">
        <v>1998</v>
      </c>
    </row>
    <row r="31" spans="1:5" ht="12" customHeight="1" x14ac:dyDescent="0.15">
      <c r="A31" s="57">
        <v>11930</v>
      </c>
      <c r="B31" s="170">
        <v>2</v>
      </c>
      <c r="C31" s="170">
        <v>62</v>
      </c>
      <c r="D31" s="170">
        <v>3570</v>
      </c>
      <c r="E31" s="170">
        <v>2065</v>
      </c>
    </row>
    <row r="32" spans="1:5" ht="12" customHeight="1" x14ac:dyDescent="0.15">
      <c r="A32" s="57">
        <v>15500</v>
      </c>
      <c r="B32" s="170">
        <v>1</v>
      </c>
      <c r="C32" s="170">
        <v>1</v>
      </c>
      <c r="D32" s="170">
        <v>1</v>
      </c>
      <c r="E32" s="170">
        <v>2335</v>
      </c>
    </row>
  </sheetData>
  <sheetProtection algorithmName="SHA-512" hashValue="O8EhmI0Vcm8yITvwFrbDlsPAeKaZRNt94tnIrF03APwXnFj+GcPv7AdO3zLCJBLfEw9ACKxfeojX8vqtdacPog==" saltValue="lUNKzGz4e7bpaRLeF8ZoOQ==" spinCount="100000" sheet="1" selectLockedCells="1" selectUnlockedCells="1"/>
  <mergeCells count="1">
    <mergeCell ref="C1:E1"/>
  </mergeCells>
  <phoneticPr fontId="2"/>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46"/>
  </sheetPr>
  <dimension ref="A1:E44"/>
  <sheetViews>
    <sheetView workbookViewId="0"/>
  </sheetViews>
  <sheetFormatPr defaultColWidth="9" defaultRowHeight="12" customHeight="1" x14ac:dyDescent="0.15"/>
  <cols>
    <col min="1" max="1" width="20.375" style="57" bestFit="1" customWidth="1"/>
    <col min="2" max="3" width="4.875" style="66" customWidth="1"/>
    <col min="4" max="5" width="9" style="66"/>
    <col min="6" max="16384" width="9" style="57"/>
  </cols>
  <sheetData>
    <row r="1" spans="1:5" ht="12" customHeight="1" x14ac:dyDescent="0.15">
      <c r="A1" s="383">
        <v>38</v>
      </c>
      <c r="B1" s="166"/>
      <c r="C1" s="734"/>
      <c r="D1" s="735"/>
      <c r="E1" s="735"/>
    </row>
    <row r="2" spans="1:5" ht="12" customHeight="1" x14ac:dyDescent="0.15">
      <c r="A2" s="57" t="s">
        <v>200</v>
      </c>
      <c r="B2" s="169" t="s">
        <v>33</v>
      </c>
      <c r="C2" s="169" t="s">
        <v>128</v>
      </c>
      <c r="D2" s="169" t="s">
        <v>127</v>
      </c>
      <c r="E2" s="169" t="s">
        <v>129</v>
      </c>
    </row>
    <row r="3" spans="1:5" ht="12" customHeight="1" x14ac:dyDescent="0.15">
      <c r="A3" s="57">
        <v>0</v>
      </c>
      <c r="B3" s="170">
        <v>42</v>
      </c>
      <c r="C3" s="170">
        <v>341</v>
      </c>
      <c r="D3" s="170">
        <v>10000</v>
      </c>
      <c r="E3" s="170">
        <v>241</v>
      </c>
    </row>
    <row r="4" spans="1:5" ht="12" customHeight="1" x14ac:dyDescent="0.15">
      <c r="A4" s="57">
        <v>10000</v>
      </c>
      <c r="B4" s="170">
        <v>41</v>
      </c>
      <c r="C4" s="170">
        <v>16</v>
      </c>
      <c r="D4" s="170">
        <v>2000</v>
      </c>
      <c r="E4" s="170">
        <v>502</v>
      </c>
    </row>
    <row r="5" spans="1:5" ht="12" customHeight="1" x14ac:dyDescent="0.15">
      <c r="A5" s="57">
        <v>12000</v>
      </c>
      <c r="B5" s="170">
        <v>40</v>
      </c>
      <c r="C5" s="170">
        <v>19</v>
      </c>
      <c r="D5" s="170">
        <v>3000</v>
      </c>
      <c r="E5" s="170">
        <v>522</v>
      </c>
    </row>
    <row r="6" spans="1:5" ht="12" customHeight="1" x14ac:dyDescent="0.15">
      <c r="A6" s="57">
        <v>15000</v>
      </c>
      <c r="B6" s="170">
        <v>39</v>
      </c>
      <c r="C6" s="170">
        <v>28</v>
      </c>
      <c r="D6" s="170">
        <v>5000</v>
      </c>
      <c r="E6" s="170">
        <v>533</v>
      </c>
    </row>
    <row r="7" spans="1:5" ht="12" customHeight="1" x14ac:dyDescent="0.15">
      <c r="A7" s="57">
        <v>20000</v>
      </c>
      <c r="B7" s="170">
        <v>38</v>
      </c>
      <c r="C7" s="170">
        <v>23</v>
      </c>
      <c r="D7" s="170">
        <v>5000</v>
      </c>
      <c r="E7" s="170">
        <v>553</v>
      </c>
    </row>
    <row r="8" spans="1:5" ht="12" customHeight="1" x14ac:dyDescent="0.15">
      <c r="A8" s="57">
        <v>25000</v>
      </c>
      <c r="B8" s="170">
        <v>37</v>
      </c>
      <c r="C8" s="170">
        <v>19</v>
      </c>
      <c r="D8" s="170">
        <v>5000</v>
      </c>
      <c r="E8" s="170">
        <v>573</v>
      </c>
    </row>
    <row r="9" spans="1:5" ht="12" customHeight="1" x14ac:dyDescent="0.15">
      <c r="A9" s="57">
        <v>30000</v>
      </c>
      <c r="B9" s="170">
        <v>36</v>
      </c>
      <c r="C9" s="170">
        <v>31</v>
      </c>
      <c r="D9" s="170">
        <v>10000</v>
      </c>
      <c r="E9" s="170">
        <v>594</v>
      </c>
    </row>
    <row r="10" spans="1:5" ht="12" customHeight="1" x14ac:dyDescent="0.15">
      <c r="A10" s="57">
        <v>40000</v>
      </c>
      <c r="B10" s="170">
        <v>35</v>
      </c>
      <c r="C10" s="170">
        <v>27</v>
      </c>
      <c r="D10" s="170">
        <v>10000</v>
      </c>
      <c r="E10" s="170">
        <v>610</v>
      </c>
    </row>
    <row r="11" spans="1:5" ht="12" customHeight="1" x14ac:dyDescent="0.15">
      <c r="A11" s="57">
        <v>50000</v>
      </c>
      <c r="B11" s="170">
        <v>34</v>
      </c>
      <c r="C11" s="170">
        <v>22</v>
      </c>
      <c r="D11" s="170">
        <v>10000</v>
      </c>
      <c r="E11" s="170">
        <v>635</v>
      </c>
    </row>
    <row r="12" spans="1:5" ht="12" customHeight="1" x14ac:dyDescent="0.15">
      <c r="A12" s="57">
        <v>60000</v>
      </c>
      <c r="B12" s="170">
        <v>33</v>
      </c>
      <c r="C12" s="170">
        <v>36</v>
      </c>
      <c r="D12" s="170">
        <v>20000</v>
      </c>
      <c r="E12" s="170">
        <v>659</v>
      </c>
    </row>
    <row r="13" spans="1:5" ht="12" customHeight="1" x14ac:dyDescent="0.15">
      <c r="A13" s="57">
        <v>80000</v>
      </c>
      <c r="B13" s="170">
        <v>32</v>
      </c>
      <c r="C13" s="170">
        <v>29</v>
      </c>
      <c r="D13" s="170">
        <v>20000</v>
      </c>
      <c r="E13" s="170">
        <v>687</v>
      </c>
    </row>
    <row r="14" spans="1:5" ht="12" customHeight="1" x14ac:dyDescent="0.15">
      <c r="A14" s="57">
        <v>100000</v>
      </c>
      <c r="B14" s="170">
        <v>31</v>
      </c>
      <c r="C14" s="170">
        <v>26</v>
      </c>
      <c r="D14" s="170">
        <v>20000</v>
      </c>
      <c r="E14" s="170">
        <v>702</v>
      </c>
    </row>
    <row r="15" spans="1:5" ht="12" customHeight="1" x14ac:dyDescent="0.15">
      <c r="A15" s="57">
        <v>120000</v>
      </c>
      <c r="B15" s="170">
        <v>30</v>
      </c>
      <c r="C15" s="170">
        <v>32</v>
      </c>
      <c r="D15" s="170">
        <v>30000</v>
      </c>
      <c r="E15" s="170">
        <v>730</v>
      </c>
    </row>
    <row r="16" spans="1:5" ht="12" customHeight="1" x14ac:dyDescent="0.15">
      <c r="A16" s="57">
        <v>150000</v>
      </c>
      <c r="B16" s="170">
        <v>29</v>
      </c>
      <c r="C16" s="170">
        <v>45</v>
      </c>
      <c r="D16" s="170">
        <v>50000</v>
      </c>
      <c r="E16" s="170">
        <v>755</v>
      </c>
    </row>
    <row r="17" spans="1:5" ht="12" customHeight="1" x14ac:dyDescent="0.15">
      <c r="A17" s="57">
        <v>200000</v>
      </c>
      <c r="B17" s="170">
        <v>28</v>
      </c>
      <c r="C17" s="170">
        <v>35</v>
      </c>
      <c r="D17" s="170">
        <v>50000</v>
      </c>
      <c r="E17" s="170">
        <v>795</v>
      </c>
    </row>
    <row r="18" spans="1:5" ht="12" customHeight="1" x14ac:dyDescent="0.15">
      <c r="A18" s="57">
        <v>250000</v>
      </c>
      <c r="B18" s="170">
        <v>27</v>
      </c>
      <c r="C18" s="170">
        <v>30</v>
      </c>
      <c r="D18" s="170">
        <v>50000</v>
      </c>
      <c r="E18" s="170">
        <v>820</v>
      </c>
    </row>
    <row r="19" spans="1:5" ht="12" customHeight="1" x14ac:dyDescent="0.15">
      <c r="A19" s="57">
        <v>300000</v>
      </c>
      <c r="B19" s="170">
        <v>26</v>
      </c>
      <c r="C19" s="170">
        <v>51</v>
      </c>
      <c r="D19" s="170">
        <v>100000</v>
      </c>
      <c r="E19" s="170">
        <v>847</v>
      </c>
    </row>
    <row r="20" spans="1:5" ht="12" customHeight="1" x14ac:dyDescent="0.15">
      <c r="A20" s="57">
        <v>400000</v>
      </c>
      <c r="B20" s="170">
        <v>25</v>
      </c>
      <c r="C20" s="170">
        <v>40</v>
      </c>
      <c r="D20" s="170">
        <v>100000</v>
      </c>
      <c r="E20" s="170">
        <v>891</v>
      </c>
    </row>
    <row r="21" spans="1:5" ht="12" customHeight="1" x14ac:dyDescent="0.15">
      <c r="A21" s="57">
        <v>500000</v>
      </c>
      <c r="B21" s="170">
        <v>24</v>
      </c>
      <c r="C21" s="170">
        <v>36</v>
      </c>
      <c r="D21" s="170">
        <v>100000</v>
      </c>
      <c r="E21" s="170">
        <v>911</v>
      </c>
    </row>
    <row r="22" spans="1:5" ht="12" customHeight="1" x14ac:dyDescent="0.15">
      <c r="A22" s="57">
        <v>600000</v>
      </c>
      <c r="B22" s="170">
        <v>23</v>
      </c>
      <c r="C22" s="170">
        <v>57</v>
      </c>
      <c r="D22" s="170">
        <v>200000</v>
      </c>
      <c r="E22" s="170">
        <v>956</v>
      </c>
    </row>
    <row r="23" spans="1:5" ht="12" customHeight="1" x14ac:dyDescent="0.15">
      <c r="A23" s="57">
        <v>800000</v>
      </c>
      <c r="B23" s="170">
        <v>22</v>
      </c>
      <c r="C23" s="170">
        <v>47</v>
      </c>
      <c r="D23" s="170">
        <v>200000</v>
      </c>
      <c r="E23" s="170">
        <v>996</v>
      </c>
    </row>
    <row r="24" spans="1:5" ht="12" customHeight="1" x14ac:dyDescent="0.15">
      <c r="A24" s="57">
        <v>1000000</v>
      </c>
      <c r="B24" s="170">
        <v>21</v>
      </c>
      <c r="C24" s="170">
        <v>41</v>
      </c>
      <c r="D24" s="170">
        <v>200000</v>
      </c>
      <c r="E24" s="170">
        <v>1026</v>
      </c>
    </row>
    <row r="25" spans="1:5" ht="12" customHeight="1" x14ac:dyDescent="0.15">
      <c r="A25" s="57">
        <v>1200000</v>
      </c>
      <c r="B25" s="170">
        <v>20</v>
      </c>
      <c r="C25" s="170">
        <v>50</v>
      </c>
      <c r="D25" s="170">
        <v>300000</v>
      </c>
      <c r="E25" s="170">
        <v>1072</v>
      </c>
    </row>
    <row r="26" spans="1:5" ht="12" customHeight="1" x14ac:dyDescent="0.15">
      <c r="A26" s="57">
        <v>1500000</v>
      </c>
      <c r="B26" s="170">
        <v>19</v>
      </c>
      <c r="C26" s="170">
        <v>70</v>
      </c>
      <c r="D26" s="170">
        <v>500000</v>
      </c>
      <c r="E26" s="170">
        <v>1112</v>
      </c>
    </row>
    <row r="27" spans="1:5" ht="12" customHeight="1" x14ac:dyDescent="0.15">
      <c r="A27" s="57">
        <v>2000000</v>
      </c>
      <c r="B27" s="170">
        <v>18</v>
      </c>
      <c r="C27" s="170">
        <v>57</v>
      </c>
      <c r="D27" s="170">
        <v>500000</v>
      </c>
      <c r="E27" s="170">
        <v>1164</v>
      </c>
    </row>
    <row r="28" spans="1:5" ht="12" customHeight="1" x14ac:dyDescent="0.15">
      <c r="A28" s="57">
        <v>2500000</v>
      </c>
      <c r="B28" s="170">
        <v>17</v>
      </c>
      <c r="C28" s="170">
        <v>48</v>
      </c>
      <c r="D28" s="170">
        <v>500000</v>
      </c>
      <c r="E28" s="170">
        <v>1209</v>
      </c>
    </row>
    <row r="29" spans="1:5" ht="12" customHeight="1" x14ac:dyDescent="0.15">
      <c r="A29" s="57">
        <v>3000000</v>
      </c>
      <c r="B29" s="170">
        <v>16</v>
      </c>
      <c r="C29" s="170">
        <v>79</v>
      </c>
      <c r="D29" s="170">
        <v>1000000</v>
      </c>
      <c r="E29" s="170">
        <v>1260</v>
      </c>
    </row>
    <row r="30" spans="1:5" ht="12" customHeight="1" x14ac:dyDescent="0.15">
      <c r="A30" s="57">
        <v>4000000</v>
      </c>
      <c r="B30" s="170">
        <v>15</v>
      </c>
      <c r="C30" s="170">
        <v>66</v>
      </c>
      <c r="D30" s="170">
        <v>1000000</v>
      </c>
      <c r="E30" s="170">
        <v>1312</v>
      </c>
    </row>
    <row r="31" spans="1:5" ht="12" customHeight="1" x14ac:dyDescent="0.15">
      <c r="A31" s="57">
        <v>5000000</v>
      </c>
      <c r="B31" s="170">
        <v>14</v>
      </c>
      <c r="C31" s="170">
        <v>55</v>
      </c>
      <c r="D31" s="170">
        <v>1000000</v>
      </c>
      <c r="E31" s="170">
        <v>1367</v>
      </c>
    </row>
    <row r="32" spans="1:5" ht="12" customHeight="1" x14ac:dyDescent="0.15">
      <c r="A32" s="57">
        <v>6000000</v>
      </c>
      <c r="B32" s="170">
        <v>13</v>
      </c>
      <c r="C32" s="170">
        <v>92</v>
      </c>
      <c r="D32" s="170">
        <v>2000000</v>
      </c>
      <c r="E32" s="170">
        <v>1421</v>
      </c>
    </row>
    <row r="33" spans="1:5" ht="12" customHeight="1" x14ac:dyDescent="0.15">
      <c r="A33" s="57">
        <v>8000000</v>
      </c>
      <c r="B33" s="170">
        <v>12</v>
      </c>
      <c r="C33" s="170">
        <v>75</v>
      </c>
      <c r="D33" s="170">
        <v>2000000</v>
      </c>
      <c r="E33" s="170">
        <v>1489</v>
      </c>
    </row>
    <row r="34" spans="1:5" ht="12" customHeight="1" x14ac:dyDescent="0.15">
      <c r="A34" s="57">
        <v>10000000</v>
      </c>
      <c r="B34" s="170">
        <v>11</v>
      </c>
      <c r="C34" s="170">
        <v>63</v>
      </c>
      <c r="D34" s="170">
        <v>2000000</v>
      </c>
      <c r="E34" s="170">
        <v>1549</v>
      </c>
    </row>
    <row r="35" spans="1:5" ht="12" customHeight="1" x14ac:dyDescent="0.15">
      <c r="A35" s="57">
        <v>12000000</v>
      </c>
      <c r="B35" s="170">
        <v>10</v>
      </c>
      <c r="C35" s="170">
        <v>81</v>
      </c>
      <c r="D35" s="170">
        <v>3000000</v>
      </c>
      <c r="E35" s="170">
        <v>1603</v>
      </c>
    </row>
    <row r="36" spans="1:5" ht="12" customHeight="1" x14ac:dyDescent="0.15">
      <c r="A36" s="57">
        <v>15000000</v>
      </c>
      <c r="B36" s="170">
        <v>9</v>
      </c>
      <c r="C36" s="170">
        <v>110</v>
      </c>
      <c r="D36" s="170">
        <v>5000000</v>
      </c>
      <c r="E36" s="170">
        <v>1678</v>
      </c>
    </row>
    <row r="37" spans="1:5" ht="12" customHeight="1" x14ac:dyDescent="0.15">
      <c r="A37" s="57">
        <v>20000000</v>
      </c>
      <c r="B37" s="170">
        <v>8</v>
      </c>
      <c r="C37" s="170">
        <v>90</v>
      </c>
      <c r="D37" s="170">
        <v>5000000</v>
      </c>
      <c r="E37" s="170">
        <v>1758</v>
      </c>
    </row>
    <row r="38" spans="1:5" ht="12" customHeight="1" x14ac:dyDescent="0.15">
      <c r="A38" s="57">
        <v>25000000</v>
      </c>
      <c r="B38" s="170">
        <v>7</v>
      </c>
      <c r="C38" s="170">
        <v>76</v>
      </c>
      <c r="D38" s="170">
        <v>5000000</v>
      </c>
      <c r="E38" s="170">
        <v>1828</v>
      </c>
    </row>
    <row r="39" spans="1:5" ht="12" customHeight="1" x14ac:dyDescent="0.15">
      <c r="A39" s="57">
        <v>30000000</v>
      </c>
      <c r="B39" s="170">
        <v>6</v>
      </c>
      <c r="C39" s="170">
        <v>126</v>
      </c>
      <c r="D39" s="170">
        <v>10000000</v>
      </c>
      <c r="E39" s="170">
        <v>1906</v>
      </c>
    </row>
    <row r="40" spans="1:5" ht="12" customHeight="1" x14ac:dyDescent="0.15">
      <c r="A40" s="57">
        <v>40000000</v>
      </c>
      <c r="B40" s="170">
        <v>5</v>
      </c>
      <c r="C40" s="170">
        <v>104</v>
      </c>
      <c r="D40" s="170">
        <v>10000000</v>
      </c>
      <c r="E40" s="170">
        <v>1994</v>
      </c>
    </row>
    <row r="41" spans="1:5" ht="12" customHeight="1" x14ac:dyDescent="0.15">
      <c r="A41" s="57">
        <v>50000000</v>
      </c>
      <c r="B41" s="170">
        <v>4</v>
      </c>
      <c r="C41" s="170">
        <v>87</v>
      </c>
      <c r="D41" s="170">
        <v>10000000</v>
      </c>
      <c r="E41" s="170">
        <v>2079</v>
      </c>
    </row>
    <row r="42" spans="1:5" ht="12" customHeight="1" x14ac:dyDescent="0.15">
      <c r="A42" s="57">
        <v>60000000</v>
      </c>
      <c r="B42" s="170">
        <v>3</v>
      </c>
      <c r="C42" s="170">
        <v>145</v>
      </c>
      <c r="D42" s="170">
        <v>20000000</v>
      </c>
      <c r="E42" s="170">
        <v>2166</v>
      </c>
    </row>
    <row r="43" spans="1:5" ht="12" customHeight="1" x14ac:dyDescent="0.15">
      <c r="A43" s="57">
        <v>80000000</v>
      </c>
      <c r="B43" s="170">
        <v>2</v>
      </c>
      <c r="C43" s="170">
        <v>119</v>
      </c>
      <c r="D43" s="170">
        <v>20000000</v>
      </c>
      <c r="E43" s="170">
        <v>2270</v>
      </c>
    </row>
    <row r="44" spans="1:5" ht="12" customHeight="1" x14ac:dyDescent="0.15">
      <c r="A44" s="57">
        <v>100000000</v>
      </c>
      <c r="B44" s="170">
        <v>1</v>
      </c>
      <c r="C44" s="170">
        <v>1</v>
      </c>
      <c r="D44" s="170">
        <v>1</v>
      </c>
      <c r="E44" s="170">
        <v>2865</v>
      </c>
    </row>
  </sheetData>
  <sheetProtection algorithmName="SHA-512" hashValue="9IF9slynbVFi4qRsdJpOPDtQ20sQDWYSpa2gqTiI9Wxvr0fk+aGBL0dREuD6syDKf3mByRydKt5hV4tON1nXoQ==" saltValue="iqcovGWClmmt+PpH+XBoQg==" spinCount="100000" sheet="1" selectLockedCells="1" selectUnlockedCells="1"/>
  <mergeCells count="1">
    <mergeCell ref="C1:E1"/>
  </mergeCells>
  <phoneticPr fontId="2"/>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tabColor indexed="46"/>
  </sheetPr>
  <dimension ref="A1:C38"/>
  <sheetViews>
    <sheetView workbookViewId="0"/>
  </sheetViews>
  <sheetFormatPr defaultColWidth="9" defaultRowHeight="12" customHeight="1" x14ac:dyDescent="0.15"/>
  <cols>
    <col min="1" max="1" width="18" style="57" bestFit="1" customWidth="1"/>
    <col min="2" max="2" width="4.875" style="57" bestFit="1" customWidth="1"/>
    <col min="3" max="16384" width="9" style="57"/>
  </cols>
  <sheetData>
    <row r="1" spans="1:3" ht="12" customHeight="1" x14ac:dyDescent="0.15">
      <c r="A1" s="57" t="s">
        <v>772</v>
      </c>
    </row>
    <row r="2" spans="1:3" ht="12" customHeight="1" x14ac:dyDescent="0.15">
      <c r="A2" s="57" t="s">
        <v>74</v>
      </c>
      <c r="C2" s="57">
        <f>社会性等!Z24</f>
        <v>15</v>
      </c>
    </row>
    <row r="3" spans="1:3" ht="12" customHeight="1" x14ac:dyDescent="0.15">
      <c r="A3" s="57" t="s">
        <v>32</v>
      </c>
      <c r="C3" s="57">
        <f>VLOOKUP(C2,A7:C38,3)</f>
        <v>20</v>
      </c>
    </row>
    <row r="6" spans="1:3" ht="12" customHeight="1" x14ac:dyDescent="0.15">
      <c r="A6" s="57" t="s">
        <v>74</v>
      </c>
      <c r="B6" s="57" t="s">
        <v>33</v>
      </c>
      <c r="C6" s="57" t="s">
        <v>32</v>
      </c>
    </row>
    <row r="7" spans="1:3" ht="12" customHeight="1" x14ac:dyDescent="0.15">
      <c r="A7" s="57">
        <v>0</v>
      </c>
      <c r="B7" s="57">
        <v>31</v>
      </c>
      <c r="C7" s="57">
        <v>0</v>
      </c>
    </row>
    <row r="8" spans="1:3" ht="12" customHeight="1" x14ac:dyDescent="0.15">
      <c r="A8" s="57">
        <v>5</v>
      </c>
      <c r="B8" s="57">
        <v>31</v>
      </c>
      <c r="C8" s="57">
        <v>0</v>
      </c>
    </row>
    <row r="9" spans="1:3" ht="12" customHeight="1" x14ac:dyDescent="0.15">
      <c r="A9" s="57">
        <v>6</v>
      </c>
      <c r="B9" s="57">
        <v>30</v>
      </c>
      <c r="C9" s="57">
        <v>2</v>
      </c>
    </row>
    <row r="10" spans="1:3" ht="12" customHeight="1" x14ac:dyDescent="0.15">
      <c r="A10" s="57">
        <v>7</v>
      </c>
      <c r="B10" s="57">
        <v>29</v>
      </c>
      <c r="C10" s="57">
        <v>4</v>
      </c>
    </row>
    <row r="11" spans="1:3" ht="12" customHeight="1" x14ac:dyDescent="0.15">
      <c r="A11" s="57">
        <v>8</v>
      </c>
      <c r="B11" s="57">
        <v>28</v>
      </c>
      <c r="C11" s="57">
        <v>6</v>
      </c>
    </row>
    <row r="12" spans="1:3" ht="12" customHeight="1" x14ac:dyDescent="0.15">
      <c r="A12" s="57">
        <v>9</v>
      </c>
      <c r="B12" s="57">
        <v>27</v>
      </c>
      <c r="C12" s="57">
        <v>8</v>
      </c>
    </row>
    <row r="13" spans="1:3" ht="12" customHeight="1" x14ac:dyDescent="0.15">
      <c r="A13" s="57">
        <v>10</v>
      </c>
      <c r="B13" s="57">
        <v>26</v>
      </c>
      <c r="C13" s="57">
        <v>10</v>
      </c>
    </row>
    <row r="14" spans="1:3" ht="12" customHeight="1" x14ac:dyDescent="0.15">
      <c r="A14" s="57">
        <v>11</v>
      </c>
      <c r="B14" s="57">
        <v>25</v>
      </c>
      <c r="C14" s="57">
        <v>12</v>
      </c>
    </row>
    <row r="15" spans="1:3" ht="12" customHeight="1" x14ac:dyDescent="0.15">
      <c r="A15" s="57">
        <v>12</v>
      </c>
      <c r="B15" s="57">
        <v>24</v>
      </c>
      <c r="C15" s="57">
        <v>14</v>
      </c>
    </row>
    <row r="16" spans="1:3" ht="12" customHeight="1" x14ac:dyDescent="0.15">
      <c r="A16" s="57">
        <v>13</v>
      </c>
      <c r="B16" s="57">
        <v>23</v>
      </c>
      <c r="C16" s="57">
        <v>16</v>
      </c>
    </row>
    <row r="17" spans="1:3" ht="12" customHeight="1" x14ac:dyDescent="0.15">
      <c r="A17" s="57">
        <v>14</v>
      </c>
      <c r="B17" s="57">
        <v>22</v>
      </c>
      <c r="C17" s="57">
        <v>18</v>
      </c>
    </row>
    <row r="18" spans="1:3" ht="12" customHeight="1" x14ac:dyDescent="0.15">
      <c r="A18" s="57">
        <v>15</v>
      </c>
      <c r="B18" s="57">
        <v>21</v>
      </c>
      <c r="C18" s="57">
        <v>20</v>
      </c>
    </row>
    <row r="19" spans="1:3" ht="12" customHeight="1" x14ac:dyDescent="0.15">
      <c r="A19" s="57">
        <v>16</v>
      </c>
      <c r="B19" s="57">
        <v>20</v>
      </c>
      <c r="C19" s="57">
        <v>22</v>
      </c>
    </row>
    <row r="20" spans="1:3" ht="12" customHeight="1" x14ac:dyDescent="0.15">
      <c r="A20" s="57">
        <v>17</v>
      </c>
      <c r="B20" s="57">
        <v>19</v>
      </c>
      <c r="C20" s="57">
        <v>24</v>
      </c>
    </row>
    <row r="21" spans="1:3" ht="12" customHeight="1" x14ac:dyDescent="0.15">
      <c r="A21" s="57">
        <v>18</v>
      </c>
      <c r="B21" s="57">
        <v>18</v>
      </c>
      <c r="C21" s="57">
        <v>26</v>
      </c>
    </row>
    <row r="22" spans="1:3" ht="12" customHeight="1" x14ac:dyDescent="0.15">
      <c r="A22" s="57">
        <v>19</v>
      </c>
      <c r="B22" s="57">
        <v>17</v>
      </c>
      <c r="C22" s="57">
        <v>28</v>
      </c>
    </row>
    <row r="23" spans="1:3" ht="12" customHeight="1" x14ac:dyDescent="0.15">
      <c r="A23" s="57">
        <v>20</v>
      </c>
      <c r="B23" s="57">
        <v>16</v>
      </c>
      <c r="C23" s="57">
        <v>30</v>
      </c>
    </row>
    <row r="24" spans="1:3" ht="12" customHeight="1" x14ac:dyDescent="0.15">
      <c r="A24" s="57">
        <v>21</v>
      </c>
      <c r="B24" s="57">
        <v>15</v>
      </c>
      <c r="C24" s="57">
        <v>32</v>
      </c>
    </row>
    <row r="25" spans="1:3" ht="12" customHeight="1" x14ac:dyDescent="0.15">
      <c r="A25" s="57">
        <v>22</v>
      </c>
      <c r="B25" s="57">
        <v>14</v>
      </c>
      <c r="C25" s="57">
        <v>34</v>
      </c>
    </row>
    <row r="26" spans="1:3" ht="12" customHeight="1" x14ac:dyDescent="0.15">
      <c r="A26" s="57">
        <v>23</v>
      </c>
      <c r="B26" s="57">
        <v>13</v>
      </c>
      <c r="C26" s="57">
        <v>36</v>
      </c>
    </row>
    <row r="27" spans="1:3" ht="12" customHeight="1" x14ac:dyDescent="0.15">
      <c r="A27" s="57">
        <v>24</v>
      </c>
      <c r="B27" s="57">
        <v>12</v>
      </c>
      <c r="C27" s="57">
        <v>38</v>
      </c>
    </row>
    <row r="28" spans="1:3" ht="12" customHeight="1" x14ac:dyDescent="0.15">
      <c r="A28" s="57">
        <v>25</v>
      </c>
      <c r="B28" s="57">
        <v>11</v>
      </c>
      <c r="C28" s="57">
        <v>40</v>
      </c>
    </row>
    <row r="29" spans="1:3" ht="12" customHeight="1" x14ac:dyDescent="0.15">
      <c r="A29" s="57">
        <v>26</v>
      </c>
      <c r="B29" s="57">
        <v>10</v>
      </c>
      <c r="C29" s="57">
        <v>42</v>
      </c>
    </row>
    <row r="30" spans="1:3" ht="12" customHeight="1" x14ac:dyDescent="0.15">
      <c r="A30" s="57">
        <v>27</v>
      </c>
      <c r="B30" s="57">
        <v>9</v>
      </c>
      <c r="C30" s="57">
        <v>44</v>
      </c>
    </row>
    <row r="31" spans="1:3" ht="12" customHeight="1" x14ac:dyDescent="0.15">
      <c r="A31" s="57">
        <v>28</v>
      </c>
      <c r="B31" s="57">
        <v>8</v>
      </c>
      <c r="C31" s="57">
        <v>46</v>
      </c>
    </row>
    <row r="32" spans="1:3" ht="12" customHeight="1" x14ac:dyDescent="0.15">
      <c r="A32" s="57">
        <v>29</v>
      </c>
      <c r="B32" s="57">
        <v>7</v>
      </c>
      <c r="C32" s="57">
        <v>48</v>
      </c>
    </row>
    <row r="33" spans="1:3" ht="12" customHeight="1" x14ac:dyDescent="0.15">
      <c r="A33" s="57">
        <v>30</v>
      </c>
      <c r="B33" s="57">
        <v>6</v>
      </c>
      <c r="C33" s="57">
        <v>50</v>
      </c>
    </row>
    <row r="34" spans="1:3" ht="12" customHeight="1" x14ac:dyDescent="0.15">
      <c r="A34" s="57">
        <v>31</v>
      </c>
      <c r="B34" s="57">
        <v>5</v>
      </c>
      <c r="C34" s="57">
        <v>52</v>
      </c>
    </row>
    <row r="35" spans="1:3" ht="12" customHeight="1" x14ac:dyDescent="0.15">
      <c r="A35" s="57">
        <v>32</v>
      </c>
      <c r="B35" s="57">
        <v>4</v>
      </c>
      <c r="C35" s="57">
        <v>54</v>
      </c>
    </row>
    <row r="36" spans="1:3" ht="12" customHeight="1" x14ac:dyDescent="0.15">
      <c r="A36" s="57">
        <v>33</v>
      </c>
      <c r="B36" s="57">
        <v>3</v>
      </c>
      <c r="C36" s="57">
        <v>56</v>
      </c>
    </row>
    <row r="37" spans="1:3" ht="12" customHeight="1" x14ac:dyDescent="0.15">
      <c r="A37" s="57">
        <v>34</v>
      </c>
      <c r="B37" s="57">
        <v>2</v>
      </c>
      <c r="C37" s="57">
        <v>58</v>
      </c>
    </row>
    <row r="38" spans="1:3" ht="12" customHeight="1" x14ac:dyDescent="0.15">
      <c r="A38" s="57">
        <v>35</v>
      </c>
      <c r="B38" s="57">
        <v>1</v>
      </c>
      <c r="C38" s="57">
        <v>60</v>
      </c>
    </row>
  </sheetData>
  <sheetProtection algorithmName="SHA-512" hashValue="C+7qW2umKREq78OG4eIHWhqDTUwoyXXj9dZSpY9i5LuHTP+Yrk1wJTa1E0pplh0ooP3OJDTYwA7HuG8+j1Fjfw==" saltValue="qXjAZqirrDpouywi8XCCOA==" spinCount="100000" sheet="1" selectLockedCells="1" selectUnlockedCells="1"/>
  <phoneticPr fontId="2"/>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tabColor indexed="46"/>
  </sheetPr>
  <dimension ref="A2:I35"/>
  <sheetViews>
    <sheetView workbookViewId="0"/>
  </sheetViews>
  <sheetFormatPr defaultColWidth="9" defaultRowHeight="12" customHeight="1" x14ac:dyDescent="0.15"/>
  <cols>
    <col min="1" max="1" width="18" style="59" bestFit="1" customWidth="1"/>
    <col min="2" max="2" width="4.875" style="59" bestFit="1" customWidth="1"/>
    <col min="3" max="16384" width="9" style="59"/>
  </cols>
  <sheetData>
    <row r="2" spans="1:9" ht="12" customHeight="1" x14ac:dyDescent="0.15">
      <c r="A2" s="59" t="s">
        <v>137</v>
      </c>
      <c r="B2" s="59" t="s">
        <v>33</v>
      </c>
      <c r="C2" s="59" t="s">
        <v>35</v>
      </c>
    </row>
    <row r="3" spans="1:9" ht="12" customHeight="1" x14ac:dyDescent="0.15">
      <c r="B3" s="59">
        <v>1</v>
      </c>
      <c r="C3" s="59">
        <v>10</v>
      </c>
    </row>
    <row r="4" spans="1:9" ht="12" customHeight="1" x14ac:dyDescent="0.15">
      <c r="B4" s="59">
        <v>2</v>
      </c>
      <c r="C4" s="59">
        <v>8</v>
      </c>
    </row>
    <row r="5" spans="1:9" ht="12" customHeight="1" x14ac:dyDescent="0.15">
      <c r="B5" s="59">
        <v>3</v>
      </c>
      <c r="C5" s="59">
        <v>6</v>
      </c>
    </row>
    <row r="6" spans="1:9" ht="12" customHeight="1" x14ac:dyDescent="0.15">
      <c r="B6" s="59">
        <v>4</v>
      </c>
      <c r="C6" s="59">
        <v>4</v>
      </c>
    </row>
    <row r="7" spans="1:9" ht="12" customHeight="1" x14ac:dyDescent="0.15">
      <c r="B7" s="59">
        <v>5</v>
      </c>
      <c r="C7" s="59">
        <v>2</v>
      </c>
    </row>
    <row r="8" spans="1:9" ht="12" customHeight="1" x14ac:dyDescent="0.15">
      <c r="B8" s="59">
        <v>6</v>
      </c>
      <c r="C8" s="59">
        <v>0</v>
      </c>
    </row>
    <row r="11" spans="1:9" ht="12" customHeight="1" x14ac:dyDescent="0.15">
      <c r="C11" s="736" t="s">
        <v>39</v>
      </c>
      <c r="D11" s="736"/>
      <c r="E11" s="736" t="s">
        <v>399</v>
      </c>
      <c r="F11" s="736"/>
      <c r="G11" s="736" t="s">
        <v>400</v>
      </c>
      <c r="H11" s="736"/>
    </row>
    <row r="12" spans="1:9" ht="12" customHeight="1" x14ac:dyDescent="0.15">
      <c r="A12" s="59" t="s">
        <v>137</v>
      </c>
      <c r="C12" s="737">
        <f>社会性等!AG36+社会性等!AG37</f>
        <v>0.4</v>
      </c>
      <c r="D12" s="737"/>
      <c r="E12" s="737">
        <f>社会性等!AG36+社会性等!AG37</f>
        <v>0.4</v>
      </c>
      <c r="F12" s="737"/>
      <c r="G12" s="737">
        <f>社会性等!AG36+社会性等!AG37</f>
        <v>0.4</v>
      </c>
      <c r="H12" s="737"/>
    </row>
    <row r="13" spans="1:9" ht="12" customHeight="1" x14ac:dyDescent="0.15">
      <c r="A13" s="59" t="s">
        <v>36</v>
      </c>
      <c r="C13" s="736">
        <f>完成工事高!L40</f>
        <v>221017</v>
      </c>
      <c r="D13" s="736"/>
      <c r="E13" s="736">
        <f>完成工事高!J40</f>
        <v>253410</v>
      </c>
      <c r="F13" s="736"/>
      <c r="G13" s="736">
        <f>完成工事高!K40</f>
        <v>221017</v>
      </c>
      <c r="H13" s="736"/>
    </row>
    <row r="14" spans="1:9" ht="12" customHeight="1" x14ac:dyDescent="0.15">
      <c r="A14" s="59" t="s">
        <v>138</v>
      </c>
      <c r="C14" s="736">
        <f>VLOOKUP(C13,$A$17:$B$22,2)</f>
        <v>2</v>
      </c>
      <c r="D14" s="736"/>
      <c r="E14" s="736">
        <f>VLOOKUP(E13,$A$17:$B$22,2)</f>
        <v>2</v>
      </c>
      <c r="F14" s="736"/>
      <c r="G14" s="736">
        <f>VLOOKUP(G13,$A$17:$B$22,2)</f>
        <v>2</v>
      </c>
      <c r="H14" s="736"/>
    </row>
    <row r="16" spans="1:9" ht="12" customHeight="1" x14ac:dyDescent="0.15">
      <c r="C16" s="60">
        <v>1</v>
      </c>
      <c r="D16" s="60">
        <v>2</v>
      </c>
      <c r="E16" s="60">
        <v>3</v>
      </c>
      <c r="F16" s="60">
        <v>4</v>
      </c>
      <c r="G16" s="60">
        <v>5</v>
      </c>
      <c r="H16" s="60">
        <v>6</v>
      </c>
      <c r="I16" s="60"/>
    </row>
    <row r="17" spans="1:9" ht="12" customHeight="1" x14ac:dyDescent="0.15">
      <c r="A17" s="59">
        <v>0</v>
      </c>
      <c r="B17" s="60">
        <v>1</v>
      </c>
      <c r="C17" s="61">
        <v>0</v>
      </c>
      <c r="D17" s="61">
        <v>0</v>
      </c>
      <c r="E17" s="61">
        <v>0</v>
      </c>
      <c r="F17" s="61">
        <v>0</v>
      </c>
      <c r="G17" s="61">
        <v>0</v>
      </c>
      <c r="H17" s="61">
        <v>0</v>
      </c>
      <c r="I17" s="59">
        <v>6</v>
      </c>
    </row>
    <row r="18" spans="1:9" ht="12" customHeight="1" x14ac:dyDescent="0.15">
      <c r="A18" s="59">
        <v>100000</v>
      </c>
      <c r="B18" s="60">
        <v>2</v>
      </c>
      <c r="C18" s="61"/>
      <c r="D18" s="61"/>
      <c r="E18" s="61">
        <v>0.39</v>
      </c>
      <c r="F18" s="61">
        <v>0.79</v>
      </c>
      <c r="G18" s="61">
        <v>1.59</v>
      </c>
      <c r="H18" s="61">
        <v>2.79</v>
      </c>
      <c r="I18" s="59">
        <v>5</v>
      </c>
    </row>
    <row r="19" spans="1:9" ht="12" customHeight="1" x14ac:dyDescent="0.15">
      <c r="A19" s="59">
        <v>1000000</v>
      </c>
      <c r="B19" s="60">
        <v>3</v>
      </c>
      <c r="C19" s="61"/>
      <c r="D19" s="61"/>
      <c r="E19" s="61">
        <v>0.79</v>
      </c>
      <c r="F19" s="61">
        <v>1.19</v>
      </c>
      <c r="G19" s="61">
        <v>2.79</v>
      </c>
      <c r="H19" s="61">
        <v>5.19</v>
      </c>
      <c r="I19" s="59">
        <v>4</v>
      </c>
    </row>
    <row r="20" spans="1:9" ht="12" customHeight="1" x14ac:dyDescent="0.15">
      <c r="A20" s="59">
        <v>4000000</v>
      </c>
      <c r="B20" s="60">
        <v>4</v>
      </c>
      <c r="C20" s="61"/>
      <c r="D20" s="61">
        <v>0.39</v>
      </c>
      <c r="E20" s="61">
        <v>1.19</v>
      </c>
      <c r="F20" s="61">
        <v>2.39</v>
      </c>
      <c r="G20" s="61">
        <v>4.79</v>
      </c>
      <c r="H20" s="61">
        <v>7.19</v>
      </c>
      <c r="I20" s="59">
        <v>3</v>
      </c>
    </row>
    <row r="21" spans="1:9" ht="12" customHeight="1" x14ac:dyDescent="0.15">
      <c r="A21" s="59">
        <v>15000000</v>
      </c>
      <c r="B21" s="60">
        <v>5</v>
      </c>
      <c r="C21" s="61"/>
      <c r="D21" s="61">
        <v>0.79</v>
      </c>
      <c r="E21" s="61">
        <v>1.59</v>
      </c>
      <c r="F21" s="61">
        <v>3.19</v>
      </c>
      <c r="G21" s="61">
        <v>6.79</v>
      </c>
      <c r="H21" s="61">
        <v>10.79</v>
      </c>
      <c r="I21" s="59">
        <v>2</v>
      </c>
    </row>
    <row r="22" spans="1:9" ht="12" customHeight="1" x14ac:dyDescent="0.15">
      <c r="A22" s="59">
        <v>60000000</v>
      </c>
      <c r="B22" s="60">
        <v>6</v>
      </c>
      <c r="C22" s="61">
        <v>0.4</v>
      </c>
      <c r="D22" s="61">
        <v>1.2</v>
      </c>
      <c r="E22" s="61">
        <v>2.4</v>
      </c>
      <c r="F22" s="61">
        <v>4.4000000000000004</v>
      </c>
      <c r="G22" s="61">
        <v>8.8000000000000007</v>
      </c>
      <c r="H22" s="61">
        <v>13.6</v>
      </c>
      <c r="I22" s="59">
        <v>1</v>
      </c>
    </row>
    <row r="23" spans="1:9" ht="12" customHeight="1" x14ac:dyDescent="0.15">
      <c r="B23" s="60"/>
      <c r="C23" s="61"/>
      <c r="D23" s="61"/>
      <c r="E23" s="61"/>
      <c r="F23" s="61"/>
      <c r="G23" s="61"/>
      <c r="H23" s="61"/>
      <c r="I23" s="61"/>
    </row>
    <row r="24" spans="1:9" ht="12" customHeight="1" x14ac:dyDescent="0.15">
      <c r="B24" s="60"/>
      <c r="C24" s="61"/>
      <c r="D24" s="61"/>
      <c r="E24" s="61"/>
      <c r="F24" s="61"/>
      <c r="G24" s="61"/>
      <c r="H24" s="61"/>
      <c r="I24" s="61"/>
    </row>
    <row r="25" spans="1:9" s="64" customFormat="1" ht="12" customHeight="1" x14ac:dyDescent="0.15">
      <c r="A25" s="62" t="s">
        <v>39</v>
      </c>
      <c r="B25" s="63"/>
      <c r="C25" s="64">
        <f>LOOKUP($C$12,$C$17:$C$22,$I$17:$I$22)</f>
        <v>1</v>
      </c>
      <c r="D25" s="64">
        <f>LOOKUP($C$12,$D$17:$D$22,$I$17:$I$22)</f>
        <v>3</v>
      </c>
      <c r="E25" s="64">
        <f>LOOKUP($C$12,$E$17:$E$22,$I$17:$I$22)</f>
        <v>5</v>
      </c>
      <c r="F25" s="64">
        <f>LOOKUP($C$12,$F$17:$F$22,$I$17:$I$22)</f>
        <v>6</v>
      </c>
      <c r="G25" s="64">
        <f>LOOKUP($C$12,$G$17:$G$22,$I$17:$I$22)</f>
        <v>6</v>
      </c>
      <c r="H25" s="64">
        <f>LOOKUP($C$12,$H$17:$H$22,$I$17:$I$22)</f>
        <v>6</v>
      </c>
    </row>
    <row r="26" spans="1:9" s="64" customFormat="1" ht="12" customHeight="1" x14ac:dyDescent="0.15">
      <c r="A26" s="64" t="s">
        <v>33</v>
      </c>
      <c r="C26" s="738">
        <f ca="1">LOOKUP(C14,$C$16:$J$16,$C25:$H25)</f>
        <v>3</v>
      </c>
      <c r="D26" s="738"/>
    </row>
    <row r="27" spans="1:9" s="64" customFormat="1" ht="12" customHeight="1" x14ac:dyDescent="0.15">
      <c r="A27" s="64" t="s">
        <v>32</v>
      </c>
      <c r="C27" s="738">
        <f ca="1">VLOOKUP(C26,$B$3:$C$8,2)</f>
        <v>6</v>
      </c>
      <c r="D27" s="738"/>
      <c r="E27" s="65"/>
      <c r="F27" s="65"/>
      <c r="G27" s="65"/>
      <c r="H27" s="65"/>
      <c r="I27" s="65"/>
    </row>
    <row r="28" spans="1:9" s="64" customFormat="1" ht="12" customHeight="1" x14ac:dyDescent="0.15">
      <c r="C28" s="65"/>
      <c r="D28" s="65"/>
      <c r="E28" s="65"/>
      <c r="F28" s="65"/>
      <c r="G28" s="65"/>
      <c r="H28" s="65"/>
      <c r="I28" s="65"/>
    </row>
    <row r="29" spans="1:9" s="64" customFormat="1" ht="12" customHeight="1" x14ac:dyDescent="0.15">
      <c r="A29" s="62" t="s">
        <v>399</v>
      </c>
      <c r="B29" s="63"/>
      <c r="C29" s="64">
        <f>LOOKUP($E$12,$C$17:$C$22,$I$17:$I$22)</f>
        <v>1</v>
      </c>
      <c r="D29" s="64">
        <f>LOOKUP($E$12,$D$17:$D$22,$I$17:$I$22)</f>
        <v>3</v>
      </c>
      <c r="E29" s="64">
        <f>LOOKUP($E$12,$E$17:$E$22,$I$17:$I$22)</f>
        <v>5</v>
      </c>
      <c r="F29" s="64">
        <f>LOOKUP($E$12,$F$17:$F$22,$I$17:$I$22)</f>
        <v>6</v>
      </c>
      <c r="G29" s="64">
        <f>LOOKUP($E$12,$G$17:$G$22,$I$17:$I$22)</f>
        <v>6</v>
      </c>
      <c r="H29" s="64">
        <f>LOOKUP($E$12,$H$17:$H$22,$I$17:$I$22)</f>
        <v>6</v>
      </c>
      <c r="I29" s="65"/>
    </row>
    <row r="30" spans="1:9" s="64" customFormat="1" ht="12" customHeight="1" x14ac:dyDescent="0.15">
      <c r="A30" s="64" t="s">
        <v>33</v>
      </c>
      <c r="C30" s="738">
        <f ca="1">LOOKUP(E14,$C$16:$J$16,$C29:$H29)</f>
        <v>3</v>
      </c>
      <c r="D30" s="738"/>
    </row>
    <row r="31" spans="1:9" s="64" customFormat="1" ht="12" customHeight="1" x14ac:dyDescent="0.15">
      <c r="A31" s="64" t="s">
        <v>32</v>
      </c>
      <c r="C31" s="738">
        <f ca="1">VLOOKUP(C30,$B$3:$C$8,2)</f>
        <v>6</v>
      </c>
      <c r="D31" s="738"/>
      <c r="E31" s="65"/>
      <c r="F31" s="65"/>
      <c r="G31" s="65"/>
      <c r="H31" s="65"/>
    </row>
    <row r="32" spans="1:9" s="64" customFormat="1" ht="12" customHeight="1" x14ac:dyDescent="0.15"/>
    <row r="33" spans="1:8" s="64" customFormat="1" ht="12" customHeight="1" x14ac:dyDescent="0.15">
      <c r="A33" s="62" t="s">
        <v>400</v>
      </c>
      <c r="B33" s="63"/>
      <c r="C33" s="64">
        <f>LOOKUP($G$12,$C$17:$C$22,$I$17:$I$22)</f>
        <v>1</v>
      </c>
      <c r="D33" s="64">
        <f>LOOKUP($G$12,$D$17:$D$22,$I$17:$I$22)</f>
        <v>3</v>
      </c>
      <c r="E33" s="64">
        <f>LOOKUP($G$12,$E$17:$E$22,$I$17:$I$22)</f>
        <v>5</v>
      </c>
      <c r="F33" s="64">
        <f>LOOKUP($G$12,$F$17:$F$22,$I$17:$I$22)</f>
        <v>6</v>
      </c>
      <c r="G33" s="64">
        <f>LOOKUP($G$12,$G$17:$G$22,$I$17:$I$22)</f>
        <v>6</v>
      </c>
      <c r="H33" s="64">
        <f>LOOKUP($G$12,$H$17:$H$22,$I$17:$I$22)</f>
        <v>6</v>
      </c>
    </row>
    <row r="34" spans="1:8" s="64" customFormat="1" ht="12" customHeight="1" x14ac:dyDescent="0.15">
      <c r="A34" s="64" t="s">
        <v>33</v>
      </c>
      <c r="C34" s="738">
        <f ca="1">LOOKUP(G14,$C$16:$J$16,$C33:$H33)</f>
        <v>3</v>
      </c>
      <c r="D34" s="738"/>
    </row>
    <row r="35" spans="1:8" s="64" customFormat="1" ht="12" customHeight="1" x14ac:dyDescent="0.15">
      <c r="A35" s="64" t="s">
        <v>32</v>
      </c>
      <c r="C35" s="738">
        <f ca="1">VLOOKUP(C34,$B$3:$C$8,2)</f>
        <v>6</v>
      </c>
      <c r="D35" s="738"/>
      <c r="E35" s="65"/>
      <c r="F35" s="65"/>
      <c r="G35" s="65"/>
      <c r="H35" s="65"/>
    </row>
  </sheetData>
  <sheetProtection algorithmName="SHA-512" hashValue="zKvBRkWUmr1MWLTKFnFkmWZBjearuOIQ1EXVcOhEOup1M7J0qrHWg2vJ/pA1YOOttvbmcC0okF4i7oac/6PA6w==" saltValue="pnTNJUs/oNrHoCNnR/mP6Q==" spinCount="100000" sheet="1" selectLockedCells="1" selectUnlockedCells="1"/>
  <mergeCells count="18">
    <mergeCell ref="C35:D35"/>
    <mergeCell ref="C27:D27"/>
    <mergeCell ref="E14:F14"/>
    <mergeCell ref="G14:H14"/>
    <mergeCell ref="C14:D14"/>
    <mergeCell ref="C26:D26"/>
    <mergeCell ref="C30:D30"/>
    <mergeCell ref="C31:D31"/>
    <mergeCell ref="C34:D34"/>
    <mergeCell ref="E13:F13"/>
    <mergeCell ref="C13:D13"/>
    <mergeCell ref="G13:H13"/>
    <mergeCell ref="C12:D12"/>
    <mergeCell ref="C11:D11"/>
    <mergeCell ref="E11:F11"/>
    <mergeCell ref="G11:H11"/>
    <mergeCell ref="E12:F12"/>
    <mergeCell ref="G12:H12"/>
  </mergeCells>
  <phoneticPr fontId="2"/>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indexed="46"/>
  </sheetPr>
  <dimension ref="A2:C32"/>
  <sheetViews>
    <sheetView workbookViewId="0"/>
  </sheetViews>
  <sheetFormatPr defaultColWidth="9" defaultRowHeight="12" customHeight="1" x14ac:dyDescent="0.15"/>
  <cols>
    <col min="1" max="1" width="18" style="57" bestFit="1" customWidth="1"/>
    <col min="2" max="2" width="4.875" style="57" bestFit="1" customWidth="1"/>
    <col min="3" max="16384" width="9" style="57"/>
  </cols>
  <sheetData>
    <row r="2" spans="1:3" ht="12" customHeight="1" x14ac:dyDescent="0.15">
      <c r="A2" s="57" t="s">
        <v>250</v>
      </c>
      <c r="C2" s="57">
        <f>IF(社会性等!AM35=1,社会性等!Z40,0)</f>
        <v>0</v>
      </c>
    </row>
    <row r="3" spans="1:3" ht="12" customHeight="1" x14ac:dyDescent="0.15">
      <c r="A3" s="57" t="s">
        <v>32</v>
      </c>
      <c r="C3" s="57">
        <f>VLOOKUP(C2,A7:C38,3)</f>
        <v>0</v>
      </c>
    </row>
    <row r="6" spans="1:3" ht="12" customHeight="1" x14ac:dyDescent="0.15">
      <c r="A6" s="57" t="s">
        <v>250</v>
      </c>
      <c r="B6" s="57" t="s">
        <v>33</v>
      </c>
      <c r="C6" s="57" t="s">
        <v>32</v>
      </c>
    </row>
    <row r="7" spans="1:3" ht="12" customHeight="1" x14ac:dyDescent="0.15">
      <c r="A7" s="57">
        <v>0</v>
      </c>
      <c r="B7" s="57">
        <v>26</v>
      </c>
      <c r="C7" s="57">
        <v>0</v>
      </c>
    </row>
    <row r="8" spans="1:3" ht="12" customHeight="1" x14ac:dyDescent="0.15">
      <c r="A8" s="57">
        <v>50000</v>
      </c>
      <c r="B8" s="57">
        <v>25</v>
      </c>
      <c r="C8" s="57">
        <v>1</v>
      </c>
    </row>
    <row r="9" spans="1:3" ht="12" customHeight="1" x14ac:dyDescent="0.15">
      <c r="A9" s="57">
        <v>100000</v>
      </c>
      <c r="B9" s="57">
        <v>24</v>
      </c>
      <c r="C9" s="57">
        <v>2</v>
      </c>
    </row>
    <row r="10" spans="1:3" ht="12" customHeight="1" x14ac:dyDescent="0.15">
      <c r="A10" s="57">
        <v>200000</v>
      </c>
      <c r="B10" s="57">
        <v>23</v>
      </c>
      <c r="C10" s="57">
        <v>3</v>
      </c>
    </row>
    <row r="11" spans="1:3" ht="12" customHeight="1" x14ac:dyDescent="0.15">
      <c r="A11" s="57">
        <v>300000</v>
      </c>
      <c r="B11" s="57">
        <v>22</v>
      </c>
      <c r="C11" s="57">
        <v>4</v>
      </c>
    </row>
    <row r="12" spans="1:3" ht="12" customHeight="1" x14ac:dyDescent="0.15">
      <c r="A12" s="57">
        <v>400000</v>
      </c>
      <c r="B12" s="57">
        <v>21</v>
      </c>
      <c r="C12" s="57">
        <v>5</v>
      </c>
    </row>
    <row r="13" spans="1:3" ht="12" customHeight="1" x14ac:dyDescent="0.15">
      <c r="A13" s="57">
        <v>500000</v>
      </c>
      <c r="B13" s="57">
        <v>20</v>
      </c>
      <c r="C13" s="57">
        <v>6</v>
      </c>
    </row>
    <row r="14" spans="1:3" ht="12" customHeight="1" x14ac:dyDescent="0.15">
      <c r="A14" s="57">
        <v>600000</v>
      </c>
      <c r="B14" s="57">
        <v>19</v>
      </c>
      <c r="C14" s="57">
        <v>7</v>
      </c>
    </row>
    <row r="15" spans="1:3" ht="12" customHeight="1" x14ac:dyDescent="0.15">
      <c r="A15" s="57">
        <v>700000</v>
      </c>
      <c r="B15" s="57">
        <v>18</v>
      </c>
      <c r="C15" s="57">
        <v>8</v>
      </c>
    </row>
    <row r="16" spans="1:3" ht="12" customHeight="1" x14ac:dyDescent="0.15">
      <c r="A16" s="57">
        <v>800000</v>
      </c>
      <c r="B16" s="57">
        <v>17</v>
      </c>
      <c r="C16" s="57">
        <v>9</v>
      </c>
    </row>
    <row r="17" spans="1:3" ht="12" customHeight="1" x14ac:dyDescent="0.15">
      <c r="A17" s="57">
        <v>900000</v>
      </c>
      <c r="B17" s="57">
        <v>16</v>
      </c>
      <c r="C17" s="57">
        <v>10</v>
      </c>
    </row>
    <row r="18" spans="1:3" ht="12" customHeight="1" x14ac:dyDescent="0.15">
      <c r="A18" s="57">
        <v>1000000</v>
      </c>
      <c r="B18" s="57">
        <v>15</v>
      </c>
      <c r="C18" s="57">
        <v>11</v>
      </c>
    </row>
    <row r="19" spans="1:3" ht="12" customHeight="1" x14ac:dyDescent="0.15">
      <c r="A19" s="57">
        <v>1100000</v>
      </c>
      <c r="B19" s="57">
        <v>14</v>
      </c>
      <c r="C19" s="57">
        <v>12</v>
      </c>
    </row>
    <row r="20" spans="1:3" ht="12" customHeight="1" x14ac:dyDescent="0.15">
      <c r="A20" s="57">
        <v>1200000</v>
      </c>
      <c r="B20" s="57">
        <v>13</v>
      </c>
      <c r="C20" s="57">
        <v>13</v>
      </c>
    </row>
    <row r="21" spans="1:3" ht="12" customHeight="1" x14ac:dyDescent="0.15">
      <c r="A21" s="57">
        <v>1300000</v>
      </c>
      <c r="B21" s="57">
        <v>12</v>
      </c>
      <c r="C21" s="57">
        <v>14</v>
      </c>
    </row>
    <row r="22" spans="1:3" ht="12" customHeight="1" x14ac:dyDescent="0.15">
      <c r="A22" s="57">
        <v>1400000</v>
      </c>
      <c r="B22" s="57">
        <v>11</v>
      </c>
      <c r="C22" s="57">
        <v>15</v>
      </c>
    </row>
    <row r="23" spans="1:3" ht="12" customHeight="1" x14ac:dyDescent="0.15">
      <c r="A23" s="57">
        <v>1500000</v>
      </c>
      <c r="B23" s="57">
        <v>10</v>
      </c>
      <c r="C23" s="57">
        <v>16</v>
      </c>
    </row>
    <row r="24" spans="1:3" ht="12" customHeight="1" x14ac:dyDescent="0.15">
      <c r="A24" s="57">
        <v>1600000</v>
      </c>
      <c r="B24" s="57">
        <v>9</v>
      </c>
      <c r="C24" s="57">
        <v>17</v>
      </c>
    </row>
    <row r="25" spans="1:3" ht="12" customHeight="1" x14ac:dyDescent="0.15">
      <c r="A25" s="57">
        <v>1700000</v>
      </c>
      <c r="B25" s="57">
        <v>8</v>
      </c>
      <c r="C25" s="57">
        <v>18</v>
      </c>
    </row>
    <row r="26" spans="1:3" ht="12" customHeight="1" x14ac:dyDescent="0.15">
      <c r="A26" s="57">
        <v>1800000</v>
      </c>
      <c r="B26" s="57">
        <v>7</v>
      </c>
      <c r="C26" s="57">
        <v>19</v>
      </c>
    </row>
    <row r="27" spans="1:3" ht="12" customHeight="1" x14ac:dyDescent="0.15">
      <c r="A27" s="57">
        <v>1900000</v>
      </c>
      <c r="B27" s="57">
        <v>6</v>
      </c>
      <c r="C27" s="57">
        <v>20</v>
      </c>
    </row>
    <row r="28" spans="1:3" ht="12" customHeight="1" x14ac:dyDescent="0.15">
      <c r="A28" s="57">
        <v>2000000</v>
      </c>
      <c r="B28" s="57">
        <v>5</v>
      </c>
      <c r="C28" s="57">
        <v>21</v>
      </c>
    </row>
    <row r="29" spans="1:3" ht="12" customHeight="1" x14ac:dyDescent="0.15">
      <c r="A29" s="57">
        <v>3000000</v>
      </c>
      <c r="B29" s="57">
        <v>4</v>
      </c>
      <c r="C29" s="57">
        <v>22</v>
      </c>
    </row>
    <row r="30" spans="1:3" ht="12" customHeight="1" x14ac:dyDescent="0.15">
      <c r="A30" s="57">
        <v>5000000</v>
      </c>
      <c r="B30" s="57">
        <v>3</v>
      </c>
      <c r="C30" s="57">
        <v>23</v>
      </c>
    </row>
    <row r="31" spans="1:3" ht="12" customHeight="1" x14ac:dyDescent="0.15">
      <c r="A31" s="57">
        <v>7500000</v>
      </c>
      <c r="B31" s="57">
        <v>2</v>
      </c>
      <c r="C31" s="57">
        <v>24</v>
      </c>
    </row>
    <row r="32" spans="1:3" ht="12" customHeight="1" x14ac:dyDescent="0.15">
      <c r="A32" s="57">
        <v>10000000</v>
      </c>
      <c r="B32" s="57">
        <v>1</v>
      </c>
      <c r="C32" s="57">
        <v>25</v>
      </c>
    </row>
  </sheetData>
  <sheetProtection algorithmName="SHA-512" hashValue="9hQcCB2VybiltWPqqGA3zgB5dQ+B6l/AUyRH5fbA9LJ4EKkc7jvwmeQ88As2i62alorh/r+OUCcbeux5R3fH8w==" saltValue="P7k+z7wxHScTM7dhDtNDpQ==" spinCount="100000" sheet="1" selectLockedCells="1" selectUnlockedCells="1"/>
  <phoneticPr fontId="2"/>
  <pageMargins left="0.75" right="0.75" top="1" bottom="1" header="0.51200000000000001" footer="0.51200000000000001"/>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6"/>
  </sheetPr>
  <dimension ref="A1:C22"/>
  <sheetViews>
    <sheetView workbookViewId="0"/>
  </sheetViews>
  <sheetFormatPr defaultColWidth="9" defaultRowHeight="12" customHeight="1" x14ac:dyDescent="0.15"/>
  <cols>
    <col min="1" max="1" width="25" style="57" bestFit="1" customWidth="1"/>
    <col min="2" max="2" width="4.875" style="57" customWidth="1"/>
    <col min="3" max="4" width="9" style="57"/>
    <col min="5" max="6" width="4.875" style="57" customWidth="1"/>
    <col min="7" max="16384" width="9" style="57"/>
  </cols>
  <sheetData>
    <row r="1" spans="1:3" ht="12" customHeight="1" x14ac:dyDescent="0.15">
      <c r="C1" s="57" t="s">
        <v>551</v>
      </c>
    </row>
    <row r="2" spans="1:3" ht="12" customHeight="1" x14ac:dyDescent="0.15">
      <c r="A2" s="57" t="s">
        <v>438</v>
      </c>
      <c r="C2" s="57">
        <f>社会性等!Z45</f>
        <v>10</v>
      </c>
    </row>
    <row r="3" spans="1:3" ht="12" customHeight="1" x14ac:dyDescent="0.15">
      <c r="A3" s="57" t="s">
        <v>32</v>
      </c>
      <c r="C3" s="57">
        <f>VLOOKUP(C2,A7:C22,3)</f>
        <v>13</v>
      </c>
    </row>
    <row r="6" spans="1:3" ht="12" customHeight="1" x14ac:dyDescent="0.15">
      <c r="A6" s="57" t="s">
        <v>449</v>
      </c>
      <c r="B6" s="57" t="s">
        <v>33</v>
      </c>
      <c r="C6" s="57" t="s">
        <v>32</v>
      </c>
    </row>
    <row r="7" spans="1:3" ht="12" customHeight="1" x14ac:dyDescent="0.15">
      <c r="A7" s="57">
        <v>0</v>
      </c>
      <c r="B7" s="57">
        <v>16</v>
      </c>
      <c r="C7" s="57">
        <v>0</v>
      </c>
    </row>
    <row r="8" spans="1:3" ht="12" customHeight="1" x14ac:dyDescent="0.15">
      <c r="A8" s="57">
        <v>1</v>
      </c>
      <c r="B8" s="57">
        <v>15</v>
      </c>
      <c r="C8" s="57">
        <v>5</v>
      </c>
    </row>
    <row r="9" spans="1:3" ht="12" customHeight="1" x14ac:dyDescent="0.15">
      <c r="A9" s="57">
        <v>2</v>
      </c>
      <c r="B9" s="57">
        <v>14</v>
      </c>
      <c r="C9" s="57">
        <v>6</v>
      </c>
    </row>
    <row r="10" spans="1:3" ht="12" customHeight="1" x14ac:dyDescent="0.15">
      <c r="A10" s="57">
        <v>3</v>
      </c>
      <c r="B10" s="57">
        <v>13</v>
      </c>
      <c r="C10" s="57">
        <v>7</v>
      </c>
    </row>
    <row r="11" spans="1:3" ht="12" customHeight="1" x14ac:dyDescent="0.15">
      <c r="A11" s="57">
        <v>4</v>
      </c>
      <c r="B11" s="57">
        <v>12</v>
      </c>
      <c r="C11" s="57">
        <v>8</v>
      </c>
    </row>
    <row r="12" spans="1:3" ht="12" customHeight="1" x14ac:dyDescent="0.15">
      <c r="A12" s="57">
        <v>5</v>
      </c>
      <c r="B12" s="57">
        <v>11</v>
      </c>
      <c r="C12" s="57">
        <v>9</v>
      </c>
    </row>
    <row r="13" spans="1:3" ht="12" customHeight="1" x14ac:dyDescent="0.15">
      <c r="A13" s="57">
        <v>6</v>
      </c>
      <c r="B13" s="57">
        <v>10</v>
      </c>
      <c r="C13" s="57">
        <v>10</v>
      </c>
    </row>
    <row r="14" spans="1:3" ht="12" customHeight="1" x14ac:dyDescent="0.15">
      <c r="A14" s="57">
        <v>7</v>
      </c>
      <c r="B14" s="57">
        <v>9</v>
      </c>
      <c r="C14" s="57">
        <v>11</v>
      </c>
    </row>
    <row r="15" spans="1:3" ht="12" customHeight="1" x14ac:dyDescent="0.15">
      <c r="A15" s="57">
        <v>8</v>
      </c>
      <c r="B15" s="57">
        <v>8</v>
      </c>
      <c r="C15" s="57">
        <v>12</v>
      </c>
    </row>
    <row r="16" spans="1:3" ht="12" customHeight="1" x14ac:dyDescent="0.15">
      <c r="A16" s="57">
        <v>9</v>
      </c>
      <c r="B16" s="57">
        <v>7</v>
      </c>
      <c r="C16" s="57">
        <v>12</v>
      </c>
    </row>
    <row r="17" spans="1:3" ht="12" customHeight="1" x14ac:dyDescent="0.15">
      <c r="A17" s="57">
        <v>10</v>
      </c>
      <c r="B17" s="57">
        <v>6</v>
      </c>
      <c r="C17" s="57">
        <v>13</v>
      </c>
    </row>
    <row r="18" spans="1:3" ht="12" customHeight="1" x14ac:dyDescent="0.15">
      <c r="A18" s="57">
        <v>11</v>
      </c>
      <c r="B18" s="57">
        <v>5</v>
      </c>
      <c r="C18" s="57">
        <v>13</v>
      </c>
    </row>
    <row r="19" spans="1:3" ht="12" customHeight="1" x14ac:dyDescent="0.15">
      <c r="A19" s="57">
        <v>12</v>
      </c>
      <c r="B19" s="57">
        <v>4</v>
      </c>
      <c r="C19" s="57">
        <v>14</v>
      </c>
    </row>
    <row r="20" spans="1:3" ht="12" customHeight="1" x14ac:dyDescent="0.15">
      <c r="A20" s="57">
        <v>13</v>
      </c>
      <c r="B20" s="57">
        <v>3</v>
      </c>
      <c r="C20" s="57">
        <v>14</v>
      </c>
    </row>
    <row r="21" spans="1:3" ht="12" customHeight="1" x14ac:dyDescent="0.15">
      <c r="A21" s="57">
        <v>14</v>
      </c>
      <c r="B21" s="57">
        <v>2</v>
      </c>
      <c r="C21" s="57">
        <v>15</v>
      </c>
    </row>
    <row r="22" spans="1:3" ht="12" customHeight="1" x14ac:dyDescent="0.15">
      <c r="A22" s="57">
        <v>15</v>
      </c>
      <c r="B22" s="57">
        <v>1</v>
      </c>
      <c r="C22" s="57">
        <v>15</v>
      </c>
    </row>
  </sheetData>
  <sheetProtection algorithmName="SHA-512" hashValue="8E6NpCdp3ICtGRtHuVyJNIyEWgvTLBvBMDRrEdx72v7z9Nq7fKgeSNbG++UMqtQEEQnwd/PI3y35Mqla0jlS1w==" saltValue="DPDO189ZsWBRXPlCfufFAw==" spinCount="100000" sheet="1" selectLockedCells="1" selectUnlockedCells="1"/>
  <phoneticPr fontId="2"/>
  <pageMargins left="0.75" right="0.75" top="1" bottom="1" header="0.51200000000000001" footer="0.51200000000000001"/>
  <pageSetup paperSize="9"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6"/>
  </sheetPr>
  <dimension ref="A1:N17"/>
  <sheetViews>
    <sheetView workbookViewId="0"/>
  </sheetViews>
  <sheetFormatPr defaultColWidth="9" defaultRowHeight="12" customHeight="1" x14ac:dyDescent="0.15"/>
  <cols>
    <col min="1" max="1" width="39.5" style="57" bestFit="1" customWidth="1"/>
    <col min="2" max="2" width="4.875" style="57" customWidth="1"/>
    <col min="3" max="4" width="9" style="57"/>
    <col min="5" max="6" width="4.875" style="57" customWidth="1"/>
    <col min="7" max="7" width="9" style="57"/>
    <col min="8" max="8" width="4.875" style="57" customWidth="1"/>
    <col min="9" max="9" width="9" style="57"/>
    <col min="10" max="11" width="4.875" style="57" customWidth="1"/>
    <col min="12" max="12" width="9" style="57"/>
    <col min="13" max="13" width="4.875" style="57" customWidth="1"/>
    <col min="14" max="16384" width="9" style="57"/>
  </cols>
  <sheetData>
    <row r="1" spans="1:14" ht="12" customHeight="1" x14ac:dyDescent="0.15">
      <c r="C1" s="57" t="s">
        <v>629</v>
      </c>
    </row>
    <row r="2" spans="1:14" ht="12" customHeight="1" x14ac:dyDescent="0.15">
      <c r="A2" s="57" t="s">
        <v>627</v>
      </c>
      <c r="C2" s="326">
        <f>社会性等!AP17</f>
        <v>7.2413793103448274</v>
      </c>
      <c r="G2" s="57" t="s">
        <v>631</v>
      </c>
      <c r="I2" s="322">
        <f>社会性等!AO14</f>
        <v>15.5</v>
      </c>
      <c r="L2" s="57" t="s">
        <v>632</v>
      </c>
      <c r="N2" s="322">
        <f>社会性等!AO16</f>
        <v>50</v>
      </c>
    </row>
    <row r="3" spans="1:14" ht="12" customHeight="1" x14ac:dyDescent="0.15">
      <c r="A3" s="57" t="s">
        <v>32</v>
      </c>
      <c r="C3" s="57">
        <f>VLOOKUP(C2,A7:C17,3)</f>
        <v>7</v>
      </c>
      <c r="I3" s="57">
        <f>VLOOKUP(I2,G7:I17,3)</f>
        <v>5</v>
      </c>
      <c r="N3" s="57">
        <f>VLOOKUP(N2,L7:N17,3)</f>
        <v>10</v>
      </c>
    </row>
    <row r="6" spans="1:14" ht="12" customHeight="1" x14ac:dyDescent="0.15">
      <c r="A6" s="57" t="s">
        <v>630</v>
      </c>
      <c r="B6" s="57" t="s">
        <v>33</v>
      </c>
      <c r="C6" s="57" t="s">
        <v>32</v>
      </c>
      <c r="H6" s="57" t="s">
        <v>33</v>
      </c>
      <c r="I6" s="57" t="s">
        <v>32</v>
      </c>
      <c r="M6" s="57" t="s">
        <v>33</v>
      </c>
      <c r="N6" s="57" t="s">
        <v>32</v>
      </c>
    </row>
    <row r="7" spans="1:14" ht="12" customHeight="1" x14ac:dyDescent="0.15">
      <c r="A7" s="57">
        <v>0</v>
      </c>
      <c r="B7" s="57">
        <v>11</v>
      </c>
      <c r="C7" s="57">
        <v>0</v>
      </c>
      <c r="G7" s="57">
        <v>0</v>
      </c>
      <c r="H7" s="57">
        <v>11</v>
      </c>
      <c r="I7" s="57">
        <v>0</v>
      </c>
      <c r="L7" s="323">
        <v>0</v>
      </c>
      <c r="M7" s="57">
        <v>11</v>
      </c>
      <c r="N7" s="57">
        <v>0</v>
      </c>
    </row>
    <row r="8" spans="1:14" ht="12" customHeight="1" x14ac:dyDescent="0.15">
      <c r="A8" s="57">
        <v>1</v>
      </c>
      <c r="B8" s="57">
        <v>10</v>
      </c>
      <c r="C8" s="57">
        <v>1</v>
      </c>
      <c r="G8" s="57">
        <v>3</v>
      </c>
      <c r="H8" s="57">
        <v>10</v>
      </c>
      <c r="I8" s="57">
        <v>1</v>
      </c>
      <c r="L8" s="323">
        <v>1.5</v>
      </c>
      <c r="M8" s="57">
        <v>10</v>
      </c>
      <c r="N8" s="57">
        <v>1</v>
      </c>
    </row>
    <row r="9" spans="1:14" ht="12" customHeight="1" x14ac:dyDescent="0.15">
      <c r="A9" s="57">
        <v>2</v>
      </c>
      <c r="B9" s="57">
        <v>9</v>
      </c>
      <c r="C9" s="57">
        <v>2</v>
      </c>
      <c r="G9" s="57">
        <v>6</v>
      </c>
      <c r="H9" s="57">
        <v>9</v>
      </c>
      <c r="I9" s="57">
        <v>2</v>
      </c>
      <c r="L9" s="323">
        <v>3</v>
      </c>
      <c r="M9" s="57">
        <v>9</v>
      </c>
      <c r="N9" s="57">
        <v>2</v>
      </c>
    </row>
    <row r="10" spans="1:14" ht="12" customHeight="1" x14ac:dyDescent="0.15">
      <c r="A10" s="57">
        <v>3</v>
      </c>
      <c r="B10" s="57">
        <v>8</v>
      </c>
      <c r="C10" s="57">
        <v>3</v>
      </c>
      <c r="G10" s="57">
        <v>9</v>
      </c>
      <c r="H10" s="57">
        <v>8</v>
      </c>
      <c r="I10" s="57">
        <v>3</v>
      </c>
      <c r="L10" s="323">
        <v>4.5</v>
      </c>
      <c r="M10" s="57">
        <v>8</v>
      </c>
      <c r="N10" s="57">
        <v>3</v>
      </c>
    </row>
    <row r="11" spans="1:14" ht="12" customHeight="1" x14ac:dyDescent="0.15">
      <c r="A11" s="57">
        <v>4</v>
      </c>
      <c r="B11" s="57">
        <v>7</v>
      </c>
      <c r="C11" s="57">
        <v>4</v>
      </c>
      <c r="G11" s="57">
        <v>12</v>
      </c>
      <c r="H11" s="57">
        <v>7</v>
      </c>
      <c r="I11" s="57">
        <v>4</v>
      </c>
      <c r="L11" s="323">
        <v>6</v>
      </c>
      <c r="M11" s="57">
        <v>7</v>
      </c>
      <c r="N11" s="57">
        <v>4</v>
      </c>
    </row>
    <row r="12" spans="1:14" ht="12" customHeight="1" x14ac:dyDescent="0.15">
      <c r="A12" s="57">
        <v>5</v>
      </c>
      <c r="B12" s="57">
        <v>6</v>
      </c>
      <c r="C12" s="57">
        <v>5</v>
      </c>
      <c r="G12" s="57">
        <v>15</v>
      </c>
      <c r="H12" s="57">
        <v>6</v>
      </c>
      <c r="I12" s="57">
        <v>5</v>
      </c>
      <c r="L12" s="323">
        <v>7.5</v>
      </c>
      <c r="M12" s="57">
        <v>6</v>
      </c>
      <c r="N12" s="57">
        <v>5</v>
      </c>
    </row>
    <row r="13" spans="1:14" ht="12" customHeight="1" x14ac:dyDescent="0.15">
      <c r="A13" s="57">
        <v>6</v>
      </c>
      <c r="B13" s="57">
        <v>5</v>
      </c>
      <c r="C13" s="57">
        <v>6</v>
      </c>
      <c r="G13" s="57">
        <v>18</v>
      </c>
      <c r="H13" s="57">
        <v>5</v>
      </c>
      <c r="I13" s="57">
        <v>6</v>
      </c>
      <c r="L13" s="323">
        <v>9</v>
      </c>
      <c r="M13" s="57">
        <v>5</v>
      </c>
      <c r="N13" s="57">
        <v>6</v>
      </c>
    </row>
    <row r="14" spans="1:14" ht="12" customHeight="1" x14ac:dyDescent="0.15">
      <c r="A14" s="57">
        <v>7</v>
      </c>
      <c r="B14" s="57">
        <v>4</v>
      </c>
      <c r="C14" s="57">
        <v>7</v>
      </c>
      <c r="G14" s="57">
        <v>21</v>
      </c>
      <c r="H14" s="57">
        <v>4</v>
      </c>
      <c r="I14" s="57">
        <v>7</v>
      </c>
      <c r="L14" s="323">
        <v>10.5</v>
      </c>
      <c r="M14" s="57">
        <v>4</v>
      </c>
      <c r="N14" s="57">
        <v>7</v>
      </c>
    </row>
    <row r="15" spans="1:14" ht="12" customHeight="1" x14ac:dyDescent="0.15">
      <c r="A15" s="57">
        <v>8</v>
      </c>
      <c r="B15" s="57">
        <v>3</v>
      </c>
      <c r="C15" s="57">
        <v>8</v>
      </c>
      <c r="G15" s="57">
        <v>24</v>
      </c>
      <c r="H15" s="57">
        <v>3</v>
      </c>
      <c r="I15" s="57">
        <v>8</v>
      </c>
      <c r="L15" s="323">
        <v>12</v>
      </c>
      <c r="M15" s="57">
        <v>3</v>
      </c>
      <c r="N15" s="57">
        <v>8</v>
      </c>
    </row>
    <row r="16" spans="1:14" ht="12" customHeight="1" x14ac:dyDescent="0.15">
      <c r="A16" s="57">
        <v>9</v>
      </c>
      <c r="B16" s="57">
        <v>2</v>
      </c>
      <c r="C16" s="57">
        <v>9</v>
      </c>
      <c r="G16" s="57">
        <v>27</v>
      </c>
      <c r="H16" s="57">
        <v>2</v>
      </c>
      <c r="I16" s="57">
        <v>9</v>
      </c>
      <c r="L16" s="323">
        <v>13.5</v>
      </c>
      <c r="M16" s="57">
        <v>2</v>
      </c>
      <c r="N16" s="57">
        <v>9</v>
      </c>
    </row>
    <row r="17" spans="1:14" ht="12" customHeight="1" x14ac:dyDescent="0.15">
      <c r="A17" s="57">
        <v>10</v>
      </c>
      <c r="B17" s="57">
        <v>1</v>
      </c>
      <c r="C17" s="57">
        <v>10</v>
      </c>
      <c r="G17" s="57">
        <v>30</v>
      </c>
      <c r="H17" s="57">
        <v>1</v>
      </c>
      <c r="I17" s="57">
        <v>10</v>
      </c>
      <c r="L17" s="323">
        <v>15</v>
      </c>
      <c r="M17" s="57">
        <v>1</v>
      </c>
      <c r="N17" s="57">
        <v>10</v>
      </c>
    </row>
  </sheetData>
  <sheetProtection algorithmName="SHA-512" hashValue="+nmx8JP866BlCJ3RJaOgGNI4ZSU+8DeacLIaXqkCTqCXTpYoAkcXBIifTIq1alkQsleA/pssleJDPj8j4oKcyQ==" saltValue="gKi/lVzSMT15uuP+VmI4Lg==" spinCount="100000" sheet="1" selectLockedCells="1" selectUnlockedCells="1"/>
  <phoneticPr fontId="2"/>
  <pageMargins left="0.75" right="0.75" top="1" bottom="1" header="0.51200000000000001" footer="0.51200000000000001"/>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6"/>
  </sheetPr>
  <dimension ref="A4:I51"/>
  <sheetViews>
    <sheetView workbookViewId="0"/>
  </sheetViews>
  <sheetFormatPr defaultColWidth="9" defaultRowHeight="12" customHeight="1" x14ac:dyDescent="0.15"/>
  <cols>
    <col min="1" max="1" width="5.625" style="52" customWidth="1"/>
    <col min="2" max="2" width="5.625" style="53" customWidth="1"/>
    <col min="3" max="3" width="17.25" style="54" bestFit="1" customWidth="1"/>
    <col min="4" max="5" width="5.625" style="54" customWidth="1"/>
    <col min="6" max="16384" width="9" style="54"/>
  </cols>
  <sheetData>
    <row r="4" spans="1:9" ht="12" customHeight="1" x14ac:dyDescent="0.15">
      <c r="A4" s="52">
        <v>1</v>
      </c>
      <c r="B4" s="53" t="s">
        <v>428</v>
      </c>
      <c r="C4" s="54" t="s">
        <v>346</v>
      </c>
      <c r="F4" s="46"/>
      <c r="G4" s="46" t="s">
        <v>123</v>
      </c>
      <c r="H4" s="46"/>
      <c r="I4" s="46" t="s">
        <v>41</v>
      </c>
    </row>
    <row r="5" spans="1:9" ht="12" customHeight="1" x14ac:dyDescent="0.15">
      <c r="A5" s="52">
        <v>2</v>
      </c>
      <c r="B5" s="53" t="s">
        <v>299</v>
      </c>
      <c r="C5" s="54" t="s">
        <v>347</v>
      </c>
      <c r="F5" s="55">
        <v>2</v>
      </c>
      <c r="G5" s="46" t="s">
        <v>131</v>
      </c>
      <c r="H5" s="55">
        <v>1</v>
      </c>
      <c r="I5" s="46" t="s">
        <v>44</v>
      </c>
    </row>
    <row r="6" spans="1:9" ht="12" customHeight="1" x14ac:dyDescent="0.15">
      <c r="A6" s="52">
        <v>3</v>
      </c>
      <c r="B6" s="53" t="s">
        <v>300</v>
      </c>
      <c r="C6" s="54" t="s">
        <v>348</v>
      </c>
      <c r="F6" s="56"/>
      <c r="G6" s="46" t="s">
        <v>132</v>
      </c>
      <c r="H6" s="56"/>
      <c r="I6" s="46" t="s">
        <v>131</v>
      </c>
    </row>
    <row r="7" spans="1:9" ht="12" customHeight="1" x14ac:dyDescent="0.15">
      <c r="A7" s="52">
        <v>4</v>
      </c>
      <c r="B7" s="53" t="s">
        <v>301</v>
      </c>
      <c r="C7" s="54" t="s">
        <v>349</v>
      </c>
    </row>
    <row r="8" spans="1:9" ht="12" customHeight="1" x14ac:dyDescent="0.15">
      <c r="A8" s="52">
        <v>5</v>
      </c>
      <c r="B8" s="53" t="s">
        <v>302</v>
      </c>
      <c r="C8" s="54" t="s">
        <v>350</v>
      </c>
    </row>
    <row r="9" spans="1:9" ht="12" customHeight="1" x14ac:dyDescent="0.15">
      <c r="A9" s="52">
        <v>6</v>
      </c>
      <c r="B9" s="53" t="s">
        <v>303</v>
      </c>
      <c r="C9" s="54" t="s">
        <v>351</v>
      </c>
    </row>
    <row r="10" spans="1:9" ht="12" customHeight="1" x14ac:dyDescent="0.15">
      <c r="A10" s="52">
        <v>7</v>
      </c>
      <c r="B10" s="53" t="s">
        <v>304</v>
      </c>
      <c r="C10" s="54" t="s">
        <v>352</v>
      </c>
    </row>
    <row r="11" spans="1:9" ht="12" customHeight="1" x14ac:dyDescent="0.15">
      <c r="A11" s="52">
        <v>8</v>
      </c>
      <c r="B11" s="53" t="s">
        <v>305</v>
      </c>
      <c r="C11" s="54" t="s">
        <v>353</v>
      </c>
    </row>
    <row r="12" spans="1:9" ht="12" customHeight="1" x14ac:dyDescent="0.15">
      <c r="A12" s="52">
        <v>9</v>
      </c>
      <c r="B12" s="53" t="s">
        <v>306</v>
      </c>
      <c r="C12" s="54" t="s">
        <v>354</v>
      </c>
      <c r="F12" s="264"/>
      <c r="G12" s="263"/>
    </row>
    <row r="13" spans="1:9" ht="12" customHeight="1" x14ac:dyDescent="0.15">
      <c r="A13" s="52">
        <v>10</v>
      </c>
      <c r="B13" s="53" t="s">
        <v>307</v>
      </c>
      <c r="C13" s="54" t="s">
        <v>355</v>
      </c>
      <c r="G13" s="263"/>
    </row>
    <row r="14" spans="1:9" ht="12" customHeight="1" x14ac:dyDescent="0.15">
      <c r="A14" s="52">
        <v>11</v>
      </c>
      <c r="B14" s="53" t="s">
        <v>308</v>
      </c>
      <c r="C14" s="54" t="s">
        <v>356</v>
      </c>
      <c r="G14" s="58"/>
    </row>
    <row r="15" spans="1:9" ht="12" customHeight="1" x14ac:dyDescent="0.15">
      <c r="A15" s="52">
        <v>12</v>
      </c>
      <c r="B15" s="53" t="s">
        <v>309</v>
      </c>
      <c r="C15" s="54" t="s">
        <v>357</v>
      </c>
    </row>
    <row r="16" spans="1:9" ht="12" customHeight="1" x14ac:dyDescent="0.15">
      <c r="A16" s="52">
        <v>13</v>
      </c>
      <c r="B16" s="53" t="s">
        <v>310</v>
      </c>
      <c r="C16" s="54" t="s">
        <v>358</v>
      </c>
      <c r="G16" s="57"/>
    </row>
    <row r="17" spans="1:7" ht="12" customHeight="1" x14ac:dyDescent="0.15">
      <c r="A17" s="52">
        <v>14</v>
      </c>
      <c r="B17" s="53" t="s">
        <v>311</v>
      </c>
      <c r="C17" s="54" t="s">
        <v>359</v>
      </c>
    </row>
    <row r="18" spans="1:7" ht="12" customHeight="1" x14ac:dyDescent="0.15">
      <c r="A18" s="52">
        <v>15</v>
      </c>
      <c r="B18" s="53" t="s">
        <v>312</v>
      </c>
      <c r="C18" s="54" t="s">
        <v>360</v>
      </c>
      <c r="G18" s="54" t="str">
        <f>IF(パスワード!C6=CONCATENATE(別表第一!A1,別表第二!A1,別表第三!A1,別表第四!A1,別表第五!A1,別表第六!A1),"製品版への変更完了","現在は、サンプル版です")</f>
        <v>現在は、サンプル版です</v>
      </c>
    </row>
    <row r="19" spans="1:7" ht="12" customHeight="1" x14ac:dyDescent="0.15">
      <c r="A19" s="52">
        <v>16</v>
      </c>
      <c r="B19" s="53" t="s">
        <v>313</v>
      </c>
      <c r="C19" s="54" t="s">
        <v>361</v>
      </c>
    </row>
    <row r="20" spans="1:7" ht="12" customHeight="1" x14ac:dyDescent="0.15">
      <c r="A20" s="52">
        <v>17</v>
      </c>
      <c r="B20" s="53" t="s">
        <v>314</v>
      </c>
      <c r="C20" s="54" t="s">
        <v>362</v>
      </c>
    </row>
    <row r="21" spans="1:7" ht="12" customHeight="1" x14ac:dyDescent="0.15">
      <c r="A21" s="52">
        <v>18</v>
      </c>
      <c r="B21" s="53" t="s">
        <v>315</v>
      </c>
      <c r="C21" s="54" t="s">
        <v>363</v>
      </c>
    </row>
    <row r="22" spans="1:7" ht="12" customHeight="1" x14ac:dyDescent="0.15">
      <c r="A22" s="52">
        <v>19</v>
      </c>
      <c r="B22" s="53" t="s">
        <v>316</v>
      </c>
      <c r="C22" s="54" t="s">
        <v>364</v>
      </c>
    </row>
    <row r="23" spans="1:7" ht="12" customHeight="1" x14ac:dyDescent="0.15">
      <c r="A23" s="52">
        <v>20</v>
      </c>
      <c r="B23" s="53" t="s">
        <v>317</v>
      </c>
      <c r="C23" s="54" t="s">
        <v>365</v>
      </c>
    </row>
    <row r="24" spans="1:7" ht="12" customHeight="1" x14ac:dyDescent="0.15">
      <c r="A24" s="52">
        <v>21</v>
      </c>
      <c r="B24" s="53" t="s">
        <v>318</v>
      </c>
      <c r="C24" s="54" t="s">
        <v>368</v>
      </c>
    </row>
    <row r="25" spans="1:7" ht="12" customHeight="1" x14ac:dyDescent="0.15">
      <c r="A25" s="52">
        <v>22</v>
      </c>
      <c r="B25" s="53" t="s">
        <v>319</v>
      </c>
      <c r="C25" s="54" t="s">
        <v>366</v>
      </c>
    </row>
    <row r="26" spans="1:7" ht="12" customHeight="1" x14ac:dyDescent="0.15">
      <c r="A26" s="52">
        <v>23</v>
      </c>
      <c r="B26" s="53" t="s">
        <v>320</v>
      </c>
      <c r="C26" s="54" t="s">
        <v>369</v>
      </c>
    </row>
    <row r="27" spans="1:7" ht="12" customHeight="1" x14ac:dyDescent="0.15">
      <c r="A27" s="52">
        <v>24</v>
      </c>
      <c r="B27" s="53" t="s">
        <v>321</v>
      </c>
      <c r="C27" s="54" t="s">
        <v>367</v>
      </c>
    </row>
    <row r="28" spans="1:7" ht="12" customHeight="1" x14ac:dyDescent="0.15">
      <c r="A28" s="52">
        <v>25</v>
      </c>
      <c r="B28" s="53" t="s">
        <v>322</v>
      </c>
      <c r="C28" s="54" t="s">
        <v>370</v>
      </c>
    </row>
    <row r="29" spans="1:7" ht="12" customHeight="1" x14ac:dyDescent="0.15">
      <c r="A29" s="52">
        <v>26</v>
      </c>
      <c r="B29" s="53" t="s">
        <v>323</v>
      </c>
      <c r="C29" s="54" t="s">
        <v>371</v>
      </c>
    </row>
    <row r="30" spans="1:7" ht="12" customHeight="1" x14ac:dyDescent="0.15">
      <c r="A30" s="52">
        <v>27</v>
      </c>
      <c r="B30" s="53" t="s">
        <v>324</v>
      </c>
      <c r="C30" s="54" t="s">
        <v>372</v>
      </c>
    </row>
    <row r="31" spans="1:7" ht="12" customHeight="1" x14ac:dyDescent="0.15">
      <c r="A31" s="52">
        <v>28</v>
      </c>
      <c r="B31" s="53" t="s">
        <v>325</v>
      </c>
      <c r="C31" s="54" t="s">
        <v>373</v>
      </c>
    </row>
    <row r="32" spans="1:7" ht="12" customHeight="1" x14ac:dyDescent="0.15">
      <c r="A32" s="52">
        <v>29</v>
      </c>
      <c r="B32" s="53" t="s">
        <v>326</v>
      </c>
      <c r="C32" s="54" t="s">
        <v>374</v>
      </c>
    </row>
    <row r="33" spans="1:3" ht="12" customHeight="1" x14ac:dyDescent="0.15">
      <c r="A33" s="52">
        <v>30</v>
      </c>
      <c r="B33" s="53" t="s">
        <v>327</v>
      </c>
      <c r="C33" s="54" t="s">
        <v>375</v>
      </c>
    </row>
    <row r="34" spans="1:3" ht="12" customHeight="1" x14ac:dyDescent="0.15">
      <c r="A34" s="52">
        <v>31</v>
      </c>
      <c r="B34" s="53" t="s">
        <v>328</v>
      </c>
      <c r="C34" s="54" t="s">
        <v>376</v>
      </c>
    </row>
    <row r="35" spans="1:3" ht="12" customHeight="1" x14ac:dyDescent="0.15">
      <c r="A35" s="52">
        <v>32</v>
      </c>
      <c r="B35" s="53" t="s">
        <v>329</v>
      </c>
      <c r="C35" s="54" t="s">
        <v>377</v>
      </c>
    </row>
    <row r="36" spans="1:3" ht="12" customHeight="1" x14ac:dyDescent="0.15">
      <c r="A36" s="52">
        <v>33</v>
      </c>
      <c r="B36" s="53" t="s">
        <v>330</v>
      </c>
      <c r="C36" s="54" t="s">
        <v>378</v>
      </c>
    </row>
    <row r="37" spans="1:3" ht="12" customHeight="1" x14ac:dyDescent="0.15">
      <c r="A37" s="52">
        <v>34</v>
      </c>
      <c r="B37" s="53" t="s">
        <v>331</v>
      </c>
      <c r="C37" s="54" t="s">
        <v>379</v>
      </c>
    </row>
    <row r="38" spans="1:3" ht="12" customHeight="1" x14ac:dyDescent="0.15">
      <c r="A38" s="52">
        <v>35</v>
      </c>
      <c r="B38" s="53" t="s">
        <v>332</v>
      </c>
      <c r="C38" s="54" t="s">
        <v>380</v>
      </c>
    </row>
    <row r="39" spans="1:3" ht="12" customHeight="1" x14ac:dyDescent="0.15">
      <c r="A39" s="52">
        <v>36</v>
      </c>
      <c r="B39" s="53" t="s">
        <v>333</v>
      </c>
      <c r="C39" s="54" t="s">
        <v>381</v>
      </c>
    </row>
    <row r="40" spans="1:3" ht="12" customHeight="1" x14ac:dyDescent="0.15">
      <c r="A40" s="52">
        <v>37</v>
      </c>
      <c r="B40" s="53" t="s">
        <v>334</v>
      </c>
      <c r="C40" s="54" t="s">
        <v>382</v>
      </c>
    </row>
    <row r="41" spans="1:3" ht="12" customHeight="1" x14ac:dyDescent="0.15">
      <c r="A41" s="52">
        <v>38</v>
      </c>
      <c r="B41" s="53" t="s">
        <v>335</v>
      </c>
      <c r="C41" s="54" t="s">
        <v>383</v>
      </c>
    </row>
    <row r="42" spans="1:3" ht="12" customHeight="1" x14ac:dyDescent="0.15">
      <c r="A42" s="52">
        <v>39</v>
      </c>
      <c r="B42" s="53" t="s">
        <v>336</v>
      </c>
      <c r="C42" s="54" t="s">
        <v>384</v>
      </c>
    </row>
    <row r="43" spans="1:3" ht="12" customHeight="1" x14ac:dyDescent="0.15">
      <c r="A43" s="52">
        <v>40</v>
      </c>
      <c r="B43" s="53" t="s">
        <v>337</v>
      </c>
      <c r="C43" s="54" t="s">
        <v>385</v>
      </c>
    </row>
    <row r="44" spans="1:3" ht="12" customHeight="1" x14ac:dyDescent="0.15">
      <c r="A44" s="52">
        <v>41</v>
      </c>
      <c r="B44" s="53" t="s">
        <v>338</v>
      </c>
      <c r="C44" s="54" t="s">
        <v>386</v>
      </c>
    </row>
    <row r="45" spans="1:3" ht="12" customHeight="1" x14ac:dyDescent="0.15">
      <c r="A45" s="52">
        <v>42</v>
      </c>
      <c r="B45" s="53" t="s">
        <v>339</v>
      </c>
      <c r="C45" s="54" t="s">
        <v>387</v>
      </c>
    </row>
    <row r="46" spans="1:3" ht="12" customHeight="1" x14ac:dyDescent="0.15">
      <c r="A46" s="52">
        <v>43</v>
      </c>
      <c r="B46" s="53" t="s">
        <v>340</v>
      </c>
      <c r="C46" s="54" t="s">
        <v>389</v>
      </c>
    </row>
    <row r="47" spans="1:3" ht="12" customHeight="1" x14ac:dyDescent="0.15">
      <c r="A47" s="52">
        <v>44</v>
      </c>
      <c r="B47" s="53" t="s">
        <v>341</v>
      </c>
      <c r="C47" s="54" t="s">
        <v>388</v>
      </c>
    </row>
    <row r="48" spans="1:3" ht="12" customHeight="1" x14ac:dyDescent="0.15">
      <c r="A48" s="52">
        <v>45</v>
      </c>
      <c r="B48" s="53" t="s">
        <v>342</v>
      </c>
      <c r="C48" s="54" t="s">
        <v>390</v>
      </c>
    </row>
    <row r="49" spans="1:3" ht="12" customHeight="1" x14ac:dyDescent="0.15">
      <c r="A49" s="52">
        <v>46</v>
      </c>
      <c r="B49" s="53" t="s">
        <v>343</v>
      </c>
      <c r="C49" s="54" t="s">
        <v>391</v>
      </c>
    </row>
    <row r="50" spans="1:3" ht="12" customHeight="1" x14ac:dyDescent="0.15">
      <c r="A50" s="52">
        <v>47</v>
      </c>
      <c r="B50" s="53" t="s">
        <v>344</v>
      </c>
      <c r="C50" s="54" t="s">
        <v>392</v>
      </c>
    </row>
    <row r="51" spans="1:3" ht="12" customHeight="1" x14ac:dyDescent="0.15">
      <c r="A51" s="52">
        <v>48</v>
      </c>
      <c r="B51" s="53" t="s">
        <v>345</v>
      </c>
      <c r="C51" s="54" t="s">
        <v>393</v>
      </c>
    </row>
  </sheetData>
  <sheetProtection algorithmName="SHA-512" hashValue="FxAQFQma04O5fp3Dc7e1m2jarg/LYZM7zB5uJz0LEpSpHQFh0OkaadN5g7KbSkQHsKmAPqLgHiQRtAr3KbADng==" saltValue="bMIluuE8UCfONvZgpLXDmg==" spinCount="100000" sheet="1" selectLockedCells="1" selectUnlockedCells="1"/>
  <phoneticPr fontId="2"/>
  <pageMargins left="0.75" right="0.75" top="1" bottom="1" header="0.51200000000000001" footer="0.51200000000000001"/>
  <pageSetup paperSize="9" orientation="portrait" horizontalDpi="4294967293"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38"/>
  <sheetViews>
    <sheetView showGridLines="0" showRowColHeaders="0" workbookViewId="0"/>
  </sheetViews>
  <sheetFormatPr defaultColWidth="3.625" defaultRowHeight="17.100000000000001" customHeight="1" x14ac:dyDescent="0.15"/>
  <cols>
    <col min="1" max="1" width="1.625" style="236" customWidth="1"/>
    <col min="2" max="16384" width="3.625" style="236"/>
  </cols>
  <sheetData>
    <row r="2" spans="2:12" ht="17.100000000000001" customHeight="1" x14ac:dyDescent="0.15">
      <c r="B2" s="236" t="s">
        <v>580</v>
      </c>
    </row>
    <row r="4" spans="2:12" ht="17.100000000000001" customHeight="1" x14ac:dyDescent="0.15">
      <c r="B4" s="236" t="s">
        <v>581</v>
      </c>
    </row>
    <row r="5" spans="2:12" ht="17.100000000000001" customHeight="1" x14ac:dyDescent="0.15">
      <c r="B5" s="236" t="s">
        <v>582</v>
      </c>
    </row>
    <row r="6" spans="2:12" ht="17.100000000000001" customHeight="1" x14ac:dyDescent="0.15">
      <c r="B6" s="236" t="s">
        <v>615</v>
      </c>
    </row>
    <row r="9" spans="2:12" ht="17.100000000000001" customHeight="1" x14ac:dyDescent="0.15">
      <c r="B9" s="236" t="s">
        <v>607</v>
      </c>
    </row>
    <row r="10" spans="2:12" ht="17.100000000000001" customHeight="1" thickBot="1" x14ac:dyDescent="0.2"/>
    <row r="11" spans="2:12" ht="17.100000000000001" customHeight="1" thickTop="1" thickBot="1" x14ac:dyDescent="0.2">
      <c r="B11" s="314"/>
      <c r="C11" s="299"/>
      <c r="D11" s="300"/>
      <c r="F11" s="236" t="s">
        <v>616</v>
      </c>
      <c r="L11" s="236" t="s">
        <v>617</v>
      </c>
    </row>
    <row r="12" spans="2:12" ht="17.100000000000001" customHeight="1" thickTop="1" x14ac:dyDescent="0.15"/>
    <row r="13" spans="2:12" ht="17.100000000000001" customHeight="1" x14ac:dyDescent="0.15">
      <c r="B13" s="275"/>
      <c r="C13" s="284"/>
      <c r="D13" s="276"/>
      <c r="F13" s="236" t="s">
        <v>583</v>
      </c>
      <c r="L13" s="236" t="s">
        <v>587</v>
      </c>
    </row>
    <row r="15" spans="2:12" ht="17.100000000000001" customHeight="1" x14ac:dyDescent="0.15">
      <c r="F15" s="236" t="s">
        <v>584</v>
      </c>
      <c r="L15" s="236" t="s">
        <v>588</v>
      </c>
    </row>
    <row r="17" spans="2:12" ht="17.100000000000001" customHeight="1" x14ac:dyDescent="0.15">
      <c r="B17" s="277"/>
      <c r="C17" s="285"/>
      <c r="D17" s="278"/>
      <c r="F17" s="236" t="s">
        <v>585</v>
      </c>
      <c r="L17" s="236" t="s">
        <v>618</v>
      </c>
    </row>
    <row r="18" spans="2:12" ht="17.100000000000001" customHeight="1" x14ac:dyDescent="0.15">
      <c r="B18" s="288"/>
      <c r="C18" s="288"/>
      <c r="D18" s="288"/>
    </row>
    <row r="19" spans="2:12" ht="17.100000000000001" customHeight="1" x14ac:dyDescent="0.15">
      <c r="B19" s="279"/>
      <c r="C19" s="286"/>
      <c r="D19" s="280"/>
      <c r="F19" s="236" t="s">
        <v>586</v>
      </c>
      <c r="L19" s="236" t="s">
        <v>589</v>
      </c>
    </row>
    <row r="20" spans="2:12" ht="17.100000000000001" customHeight="1" x14ac:dyDescent="0.15">
      <c r="B20" s="288"/>
      <c r="C20" s="288"/>
      <c r="D20" s="288"/>
    </row>
    <row r="21" spans="2:12" ht="17.100000000000001" customHeight="1" x14ac:dyDescent="0.15">
      <c r="B21" s="282"/>
      <c r="C21" s="287"/>
      <c r="D21" s="283"/>
      <c r="F21" s="236" t="s">
        <v>126</v>
      </c>
      <c r="L21" s="236" t="s">
        <v>590</v>
      </c>
    </row>
    <row r="24" spans="2:12" ht="17.100000000000001" customHeight="1" x14ac:dyDescent="0.15">
      <c r="B24" s="236" t="s">
        <v>596</v>
      </c>
    </row>
    <row r="26" spans="2:12" ht="25.15" customHeight="1" x14ac:dyDescent="0.15">
      <c r="B26" s="236" t="s">
        <v>597</v>
      </c>
      <c r="L26" s="236" t="s">
        <v>591</v>
      </c>
    </row>
    <row r="27" spans="2:12" ht="25.15" customHeight="1" x14ac:dyDescent="0.15">
      <c r="B27" s="236" t="s">
        <v>775</v>
      </c>
      <c r="L27" s="236" t="s">
        <v>776</v>
      </c>
    </row>
    <row r="28" spans="2:12" ht="25.15" customHeight="1" x14ac:dyDescent="0.15">
      <c r="B28" s="236" t="s">
        <v>598</v>
      </c>
      <c r="L28" s="236" t="s">
        <v>592</v>
      </c>
    </row>
    <row r="29" spans="2:12" ht="25.15" customHeight="1" x14ac:dyDescent="0.15">
      <c r="B29" s="236" t="s">
        <v>599</v>
      </c>
      <c r="L29" s="236" t="s">
        <v>593</v>
      </c>
    </row>
    <row r="30" spans="2:12" ht="25.15" customHeight="1" x14ac:dyDescent="0.15">
      <c r="B30" s="236" t="s">
        <v>600</v>
      </c>
      <c r="L30" s="236" t="s">
        <v>608</v>
      </c>
    </row>
    <row r="31" spans="2:12" ht="25.15" customHeight="1" x14ac:dyDescent="0.15">
      <c r="B31" s="236" t="s">
        <v>601</v>
      </c>
      <c r="L31" s="236" t="s">
        <v>609</v>
      </c>
    </row>
    <row r="32" spans="2:12" ht="25.15" customHeight="1" x14ac:dyDescent="0.15">
      <c r="B32" s="236" t="s">
        <v>602</v>
      </c>
      <c r="L32" s="236" t="s">
        <v>610</v>
      </c>
    </row>
    <row r="33" spans="2:12" ht="25.15" customHeight="1" x14ac:dyDescent="0.15">
      <c r="B33" s="236" t="s">
        <v>603</v>
      </c>
      <c r="L33" s="236" t="s">
        <v>611</v>
      </c>
    </row>
    <row r="34" spans="2:12" ht="25.15" customHeight="1" x14ac:dyDescent="0.15">
      <c r="B34" s="236" t="s">
        <v>594</v>
      </c>
      <c r="L34" s="236" t="s">
        <v>612</v>
      </c>
    </row>
    <row r="35" spans="2:12" ht="25.15" customHeight="1" x14ac:dyDescent="0.15">
      <c r="B35" s="236" t="s">
        <v>604</v>
      </c>
      <c r="L35" s="236" t="s">
        <v>613</v>
      </c>
    </row>
    <row r="36" spans="2:12" ht="25.15" customHeight="1" x14ac:dyDescent="0.15">
      <c r="B36" s="236" t="s">
        <v>595</v>
      </c>
      <c r="L36" s="236" t="s">
        <v>614</v>
      </c>
    </row>
    <row r="37" spans="2:12" ht="25.15" customHeight="1" x14ac:dyDescent="0.15">
      <c r="B37" s="236" t="s">
        <v>605</v>
      </c>
      <c r="L37" s="236" t="s">
        <v>606</v>
      </c>
    </row>
    <row r="38" spans="2:12" ht="25.15" customHeight="1" x14ac:dyDescent="0.15">
      <c r="B38" s="236" t="s">
        <v>773</v>
      </c>
      <c r="L38" s="236" t="s">
        <v>774</v>
      </c>
    </row>
  </sheetData>
  <sheetProtection algorithmName="SHA-512" hashValue="ZRnaJedSC/spKeVZMyf7bvREG7OIBCzCqfUQ9A0EGxZIpreZFrSYUka+0AWVYAQ3AOJUG9+RxOowyBdwXuXe2A==" saltValue="cmIRvQyw/5A3nTtjAIjd0g==" spinCount="100000" sheet="1" objects="1" scenarios="1" selectLockedCells="1"/>
  <phoneticPr fontId="2"/>
  <pageMargins left="0.47244094488188981" right="0.19685039370078741"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3969" r:id="rId4" name="Drop Down 1">
              <controlPr defaultSize="0" autoLine="0" autoPict="0">
                <anchor moveWithCells="1">
                  <from>
                    <xdr:col>1</xdr:col>
                    <xdr:colOff>0</xdr:colOff>
                    <xdr:row>14</xdr:row>
                    <xdr:rowOff>9525</xdr:rowOff>
                  </from>
                  <to>
                    <xdr:col>4</xdr:col>
                    <xdr:colOff>0</xdr:colOff>
                    <xdr:row>15</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17"/>
  <sheetViews>
    <sheetView showGridLines="0" showRowColHeaders="0" workbookViewId="0">
      <selection activeCell="C6" sqref="C6"/>
    </sheetView>
  </sheetViews>
  <sheetFormatPr defaultColWidth="4.625" defaultRowHeight="24" customHeight="1" x14ac:dyDescent="0.15"/>
  <cols>
    <col min="1" max="2" width="4.625" style="236" customWidth="1"/>
    <col min="3" max="3" width="13.625" style="236" customWidth="1"/>
    <col min="4" max="16384" width="4.625" style="236"/>
  </cols>
  <sheetData>
    <row r="2" spans="1:11" ht="24" customHeight="1" x14ac:dyDescent="0.15">
      <c r="A2" s="239" t="s">
        <v>193</v>
      </c>
    </row>
    <row r="3" spans="1:11" ht="24" customHeight="1" x14ac:dyDescent="0.15">
      <c r="A3" s="240"/>
    </row>
    <row r="4" spans="1:11" ht="24" customHeight="1" x14ac:dyDescent="0.15">
      <c r="B4" s="236" t="s">
        <v>191</v>
      </c>
    </row>
    <row r="5" spans="1:11" ht="24" customHeight="1" thickBot="1" x14ac:dyDescent="0.2">
      <c r="C5" s="236" t="s">
        <v>422</v>
      </c>
    </row>
    <row r="6" spans="1:11" ht="24" customHeight="1" thickTop="1" thickBot="1" x14ac:dyDescent="0.2">
      <c r="B6" s="259"/>
      <c r="C6" s="298"/>
      <c r="D6" s="258"/>
      <c r="E6" s="241" t="str">
        <f>その他!G18</f>
        <v>現在は、サンプル版です</v>
      </c>
      <c r="J6" s="242" t="s">
        <v>423</v>
      </c>
      <c r="K6" s="236" t="s">
        <v>478</v>
      </c>
    </row>
    <row r="7" spans="1:11" ht="24" customHeight="1" thickTop="1" x14ac:dyDescent="0.15">
      <c r="C7" s="259"/>
    </row>
    <row r="8" spans="1:11" ht="24" customHeight="1" x14ac:dyDescent="0.15">
      <c r="B8" s="236" t="s">
        <v>194</v>
      </c>
    </row>
    <row r="9" spans="1:11" ht="24" customHeight="1" x14ac:dyDescent="0.15">
      <c r="B9" s="236" t="s">
        <v>195</v>
      </c>
    </row>
    <row r="10" spans="1:11" ht="24" customHeight="1" x14ac:dyDescent="0.15">
      <c r="B10" s="236" t="s">
        <v>196</v>
      </c>
    </row>
    <row r="11" spans="1:11" ht="24" customHeight="1" x14ac:dyDescent="0.15">
      <c r="B11" s="236" t="s">
        <v>197</v>
      </c>
    </row>
    <row r="13" spans="1:11" ht="24" customHeight="1" x14ac:dyDescent="0.15">
      <c r="A13" s="239" t="s">
        <v>192</v>
      </c>
    </row>
    <row r="15" spans="1:11" ht="24" customHeight="1" x14ac:dyDescent="0.15">
      <c r="B15" s="236" t="s">
        <v>475</v>
      </c>
    </row>
    <row r="16" spans="1:11" ht="24" customHeight="1" x14ac:dyDescent="0.15">
      <c r="B16" s="236" t="s">
        <v>474</v>
      </c>
    </row>
    <row r="17" spans="2:2" ht="24" customHeight="1" x14ac:dyDescent="0.15">
      <c r="B17" s="236" t="s">
        <v>189</v>
      </c>
    </row>
  </sheetData>
  <sheetProtection algorithmName="SHA-512" hashValue="QB6BsjSjCRP65H730miEq7CNZtiGNiWdST7vOAYL96G6bfaMAxqtkFVHB20jXO2v1mqzKiGSpufet+yw5igFzw==" saltValue="FBXofqB/imDHdwLk2xxIEQ==" spinCount="100000" sheet="1" objects="1" scenarios="1" selectLockedCells="1"/>
  <phoneticPr fontId="2"/>
  <pageMargins left="0.59055118110236227" right="0.19685039370078741"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autoPageBreaks="0"/>
  </sheetPr>
  <dimension ref="B1:AS34"/>
  <sheetViews>
    <sheetView showGridLines="0" showRowColHeaders="0" zoomScaleNormal="100" workbookViewId="0">
      <selection activeCell="I8" sqref="I8:K8"/>
    </sheetView>
  </sheetViews>
  <sheetFormatPr defaultColWidth="2.625" defaultRowHeight="18" customHeight="1" x14ac:dyDescent="0.15"/>
  <cols>
    <col min="1" max="1" width="2.5" style="24" customWidth="1"/>
    <col min="2" max="2" width="9" style="24" customWidth="1"/>
    <col min="3" max="35" width="2.5" style="24" customWidth="1"/>
    <col min="36" max="37" width="2.375" style="24" customWidth="1"/>
    <col min="38" max="45" width="2.375" style="24" hidden="1" customWidth="1"/>
    <col min="46" max="49" width="2.375" style="24" customWidth="1"/>
    <col min="50" max="16384" width="2.625" style="24"/>
  </cols>
  <sheetData>
    <row r="1" spans="2:45" ht="18" customHeight="1" x14ac:dyDescent="0.15">
      <c r="C1" s="274"/>
      <c r="D1" s="274"/>
      <c r="E1" s="392" t="s">
        <v>571</v>
      </c>
      <c r="F1" s="392"/>
      <c r="G1" s="392"/>
      <c r="H1" s="392"/>
      <c r="I1" s="392"/>
      <c r="J1" s="392"/>
      <c r="K1" s="392"/>
      <c r="L1" s="392"/>
      <c r="M1" s="392"/>
      <c r="N1" s="392"/>
      <c r="O1" s="392"/>
      <c r="P1" s="392"/>
      <c r="Q1" s="392"/>
      <c r="R1" s="392"/>
      <c r="S1" s="392"/>
      <c r="T1" s="392"/>
      <c r="U1" s="392"/>
      <c r="V1" s="392"/>
      <c r="W1" s="392"/>
      <c r="X1" s="392"/>
      <c r="Y1" s="274"/>
      <c r="Z1" s="274"/>
      <c r="AA1" s="274"/>
      <c r="AB1" s="274"/>
      <c r="AC1" s="274"/>
      <c r="AD1" s="274"/>
      <c r="AE1" s="274"/>
      <c r="AF1" s="274"/>
      <c r="AG1" s="274"/>
      <c r="AH1" s="274"/>
      <c r="AI1" s="212"/>
      <c r="AL1" s="252"/>
      <c r="AM1" s="252"/>
      <c r="AN1" s="252"/>
      <c r="AO1" s="252"/>
      <c r="AP1" s="252"/>
      <c r="AQ1" s="252"/>
      <c r="AR1" s="252"/>
      <c r="AS1" s="252"/>
    </row>
    <row r="2" spans="2:45" ht="18" customHeight="1" x14ac:dyDescent="0.15">
      <c r="B2" s="274"/>
      <c r="C2" s="274"/>
      <c r="D2" s="274"/>
      <c r="E2" s="392"/>
      <c r="F2" s="392"/>
      <c r="G2" s="392"/>
      <c r="H2" s="392"/>
      <c r="I2" s="392"/>
      <c r="J2" s="392"/>
      <c r="K2" s="392"/>
      <c r="L2" s="392"/>
      <c r="M2" s="392"/>
      <c r="N2" s="392"/>
      <c r="O2" s="392"/>
      <c r="P2" s="392"/>
      <c r="Q2" s="392"/>
      <c r="R2" s="392"/>
      <c r="S2" s="392"/>
      <c r="T2" s="392"/>
      <c r="U2" s="392"/>
      <c r="V2" s="392"/>
      <c r="W2" s="392"/>
      <c r="X2" s="392"/>
      <c r="Y2" s="274"/>
      <c r="Z2" s="274"/>
      <c r="AA2" s="274"/>
      <c r="AB2" s="274"/>
      <c r="AC2" s="274"/>
      <c r="AD2" s="274"/>
      <c r="AE2" s="274"/>
      <c r="AF2" s="274"/>
      <c r="AG2" s="274"/>
      <c r="AH2" s="274"/>
      <c r="AI2" s="212"/>
    </row>
    <row r="3" spans="2:45" ht="18" customHeight="1" x14ac:dyDescent="0.15">
      <c r="E3" s="213"/>
      <c r="F3" s="400" t="s">
        <v>725</v>
      </c>
      <c r="G3" s="400"/>
      <c r="H3" s="400"/>
      <c r="I3" s="400"/>
      <c r="J3" s="400"/>
      <c r="K3" s="400"/>
      <c r="L3" s="400"/>
      <c r="M3" s="400"/>
      <c r="N3" s="400"/>
      <c r="O3" s="400"/>
      <c r="P3" s="400"/>
      <c r="Q3" s="400"/>
      <c r="R3" s="400"/>
      <c r="S3" s="400"/>
      <c r="T3" s="400"/>
      <c r="U3" s="400"/>
      <c r="V3" s="400"/>
      <c r="W3" s="400"/>
      <c r="Y3" s="400" t="s">
        <v>726</v>
      </c>
      <c r="Z3" s="400"/>
      <c r="AA3" s="400"/>
      <c r="AB3" s="400"/>
      <c r="AC3" s="400"/>
      <c r="AD3" s="400"/>
    </row>
    <row r="4" spans="2:45" s="1" customFormat="1" ht="18" customHeight="1" x14ac:dyDescent="0.15">
      <c r="E4" s="214"/>
      <c r="I4" s="408"/>
      <c r="J4" s="408"/>
      <c r="K4" s="408"/>
      <c r="L4" s="408"/>
      <c r="M4" s="408"/>
      <c r="N4" s="408"/>
      <c r="O4" s="408"/>
      <c r="P4" s="408"/>
      <c r="Q4" s="408"/>
      <c r="R4" s="408"/>
      <c r="S4" s="408"/>
      <c r="T4" s="408"/>
      <c r="Y4" s="215"/>
      <c r="Z4" s="215"/>
      <c r="AA4" s="215"/>
      <c r="AB4" s="215"/>
      <c r="AC4" s="215"/>
      <c r="AD4" s="215"/>
    </row>
    <row r="5" spans="2:45" s="1" customFormat="1" ht="18" customHeight="1" x14ac:dyDescent="0.15">
      <c r="D5" s="216"/>
      <c r="E5" s="216"/>
      <c r="F5" s="216"/>
      <c r="G5" s="407" t="str">
        <f>IF(AM8=2,"《　製　　品　　版　》","《 サ ン プ ル 版 》")</f>
        <v>《 サ ン プ ル 版 》</v>
      </c>
      <c r="H5" s="407"/>
      <c r="I5" s="407"/>
      <c r="J5" s="407"/>
      <c r="K5" s="407"/>
      <c r="L5" s="407"/>
      <c r="M5" s="407"/>
      <c r="N5" s="407"/>
      <c r="O5" s="407"/>
      <c r="P5" s="407"/>
      <c r="Q5" s="407"/>
      <c r="R5" s="407"/>
      <c r="S5" s="407"/>
      <c r="T5" s="407"/>
      <c r="U5" s="407"/>
      <c r="V5" s="217"/>
      <c r="X5" s="217"/>
      <c r="Y5" s="217"/>
      <c r="Z5" s="217"/>
      <c r="AA5" s="217"/>
    </row>
    <row r="6" spans="2:45" s="1" customFormat="1" ht="18" customHeight="1" x14ac:dyDescent="0.15">
      <c r="D6" s="218"/>
      <c r="E6" s="218"/>
      <c r="F6" s="218"/>
      <c r="G6" s="219"/>
      <c r="H6" s="24"/>
      <c r="I6" s="219"/>
      <c r="J6" s="219"/>
      <c r="K6" s="219"/>
      <c r="L6" s="219"/>
      <c r="M6" s="219"/>
      <c r="N6" s="219"/>
      <c r="O6" s="219"/>
      <c r="P6" s="219"/>
      <c r="Q6" s="219"/>
      <c r="R6" s="219"/>
      <c r="S6" s="219"/>
      <c r="T6" s="219"/>
      <c r="U6" s="219"/>
      <c r="V6" s="219"/>
      <c r="W6" s="24"/>
      <c r="X6" s="219"/>
      <c r="Y6" s="219"/>
      <c r="Z6" s="219"/>
      <c r="AA6" s="219"/>
    </row>
    <row r="7" spans="2:45" s="1" customFormat="1" ht="18" customHeight="1" x14ac:dyDescent="0.15"/>
    <row r="8" spans="2:45" s="1" customFormat="1" ht="18" customHeight="1" x14ac:dyDescent="0.15">
      <c r="B8" s="397" t="s">
        <v>82</v>
      </c>
      <c r="C8" s="398"/>
      <c r="D8" s="398"/>
      <c r="E8" s="398"/>
      <c r="F8" s="398"/>
      <c r="G8" s="399"/>
      <c r="H8" s="220"/>
      <c r="I8" s="428" t="s">
        <v>529</v>
      </c>
      <c r="J8" s="429"/>
      <c r="K8" s="430"/>
      <c r="L8" s="210" t="s">
        <v>271</v>
      </c>
      <c r="M8" s="428" t="s">
        <v>530</v>
      </c>
      <c r="N8" s="429"/>
      <c r="O8" s="431"/>
      <c r="Q8" s="221"/>
      <c r="R8" s="221"/>
      <c r="S8" s="221"/>
      <c r="T8" s="221"/>
      <c r="U8" s="221"/>
      <c r="V8" s="221"/>
      <c r="W8" s="221"/>
      <c r="Y8" s="24"/>
      <c r="Z8" s="24"/>
      <c r="AA8" s="24"/>
      <c r="AB8" s="24"/>
      <c r="AC8" s="24"/>
      <c r="AD8" s="24"/>
      <c r="AE8" s="24"/>
      <c r="AF8" s="24"/>
      <c r="AG8" s="24"/>
      <c r="AH8" s="24"/>
      <c r="AI8" s="24"/>
      <c r="AM8" s="231">
        <f>IF(パスワード!E6="製品版への変更完了",2,1)</f>
        <v>1</v>
      </c>
      <c r="AN8" s="423" t="s">
        <v>37</v>
      </c>
      <c r="AO8" s="423"/>
      <c r="AP8" s="423"/>
      <c r="AQ8" s="423"/>
      <c r="AR8" s="423"/>
    </row>
    <row r="9" spans="2:45" s="1" customFormat="1" ht="18" customHeight="1" x14ac:dyDescent="0.15">
      <c r="B9" s="401" t="s">
        <v>83</v>
      </c>
      <c r="C9" s="402"/>
      <c r="D9" s="402"/>
      <c r="E9" s="402"/>
      <c r="F9" s="402"/>
      <c r="G9" s="403"/>
      <c r="H9" s="424" t="s">
        <v>568</v>
      </c>
      <c r="I9" s="425"/>
      <c r="J9" s="425"/>
      <c r="K9" s="425"/>
      <c r="L9" s="425"/>
      <c r="M9" s="425"/>
      <c r="N9" s="425"/>
      <c r="O9" s="425"/>
      <c r="P9" s="425"/>
      <c r="Q9" s="425"/>
      <c r="R9" s="425"/>
      <c r="S9" s="425"/>
      <c r="T9" s="425"/>
      <c r="U9" s="425"/>
      <c r="V9" s="425"/>
      <c r="W9" s="426"/>
      <c r="AA9" s="438" t="s">
        <v>176</v>
      </c>
      <c r="AB9" s="439"/>
      <c r="AC9" s="439"/>
      <c r="AD9" s="440"/>
      <c r="AE9" s="432" t="s">
        <v>177</v>
      </c>
      <c r="AF9" s="433"/>
      <c r="AG9" s="433"/>
      <c r="AH9" s="434"/>
      <c r="AI9" s="24"/>
      <c r="AM9" s="231"/>
      <c r="AN9" s="423" t="s">
        <v>38</v>
      </c>
      <c r="AO9" s="423"/>
      <c r="AP9" s="423"/>
      <c r="AQ9" s="423"/>
      <c r="AR9" s="423"/>
    </row>
    <row r="10" spans="2:45" s="1" customFormat="1" ht="18" customHeight="1" x14ac:dyDescent="0.15">
      <c r="B10" s="404"/>
      <c r="C10" s="405"/>
      <c r="D10" s="405"/>
      <c r="E10" s="405"/>
      <c r="F10" s="405"/>
      <c r="G10" s="406"/>
      <c r="H10" s="424" t="s">
        <v>569</v>
      </c>
      <c r="I10" s="425"/>
      <c r="J10" s="425"/>
      <c r="K10" s="425"/>
      <c r="L10" s="425"/>
      <c r="M10" s="425"/>
      <c r="N10" s="425"/>
      <c r="O10" s="425"/>
      <c r="P10" s="425"/>
      <c r="Q10" s="425"/>
      <c r="R10" s="425"/>
      <c r="S10" s="425"/>
      <c r="T10" s="425"/>
      <c r="U10" s="425"/>
      <c r="V10" s="425"/>
      <c r="W10" s="426"/>
      <c r="AA10" s="441"/>
      <c r="AB10" s="442"/>
      <c r="AC10" s="442"/>
      <c r="AD10" s="443"/>
      <c r="AE10" s="435"/>
      <c r="AF10" s="436"/>
      <c r="AG10" s="436"/>
      <c r="AH10" s="437"/>
      <c r="AI10" s="24"/>
    </row>
    <row r="11" spans="2:45" s="1" customFormat="1" ht="18" customHeight="1" x14ac:dyDescent="0.15">
      <c r="B11" s="397" t="s">
        <v>84</v>
      </c>
      <c r="C11" s="398"/>
      <c r="D11" s="398"/>
      <c r="E11" s="398"/>
      <c r="F11" s="398"/>
      <c r="G11" s="399"/>
      <c r="H11" s="424" t="s">
        <v>480</v>
      </c>
      <c r="I11" s="425"/>
      <c r="J11" s="425"/>
      <c r="K11" s="425"/>
      <c r="L11" s="425"/>
      <c r="M11" s="425"/>
      <c r="N11" s="425"/>
      <c r="O11" s="425"/>
      <c r="P11" s="425"/>
      <c r="Q11" s="425"/>
      <c r="R11" s="425"/>
      <c r="S11" s="425"/>
      <c r="T11" s="425"/>
      <c r="U11" s="425"/>
      <c r="V11" s="425"/>
      <c r="W11" s="426"/>
      <c r="AE11" s="24"/>
      <c r="AF11" s="24"/>
      <c r="AG11" s="24"/>
      <c r="AH11" s="24"/>
      <c r="AI11" s="24"/>
    </row>
    <row r="12" spans="2:45" s="1" customFormat="1" ht="18" customHeight="1" x14ac:dyDescent="0.15">
      <c r="B12" s="397" t="s">
        <v>85</v>
      </c>
      <c r="C12" s="398"/>
      <c r="D12" s="398"/>
      <c r="E12" s="398"/>
      <c r="F12" s="398"/>
      <c r="G12" s="399"/>
      <c r="H12" s="424" t="s">
        <v>481</v>
      </c>
      <c r="I12" s="425"/>
      <c r="J12" s="425"/>
      <c r="K12" s="425"/>
      <c r="L12" s="425"/>
      <c r="M12" s="425"/>
      <c r="N12" s="425"/>
      <c r="O12" s="425"/>
      <c r="P12" s="425"/>
      <c r="Q12" s="425"/>
      <c r="R12" s="425"/>
      <c r="S12" s="425"/>
      <c r="T12" s="425"/>
      <c r="U12" s="425"/>
      <c r="V12" s="425"/>
      <c r="W12" s="426"/>
      <c r="AE12" s="68"/>
      <c r="AF12" s="24"/>
      <c r="AG12" s="24"/>
      <c r="AH12" s="24"/>
      <c r="AI12" s="24"/>
      <c r="AN12" s="1" t="str">
        <f>CONCATENATE(I8,L8,M8)</f>
        <v>038-2324</v>
      </c>
    </row>
    <row r="13" spans="2:45" s="1" customFormat="1" ht="18" customHeight="1" x14ac:dyDescent="0.15">
      <c r="B13" s="397" t="s">
        <v>86</v>
      </c>
      <c r="C13" s="398"/>
      <c r="D13" s="398"/>
      <c r="E13" s="398"/>
      <c r="F13" s="398"/>
      <c r="G13" s="399"/>
      <c r="H13" s="106"/>
      <c r="I13" s="420" t="s">
        <v>531</v>
      </c>
      <c r="J13" s="421"/>
      <c r="K13" s="422"/>
      <c r="L13" s="222" t="s">
        <v>271</v>
      </c>
      <c r="M13" s="420" t="s">
        <v>482</v>
      </c>
      <c r="N13" s="421"/>
      <c r="O13" s="427"/>
      <c r="P13" s="222" t="s">
        <v>271</v>
      </c>
      <c r="Q13" s="420" t="s">
        <v>483</v>
      </c>
      <c r="R13" s="421"/>
      <c r="S13" s="422"/>
      <c r="T13" s="221"/>
      <c r="U13" s="221"/>
      <c r="V13" s="221"/>
      <c r="W13" s="221"/>
      <c r="AE13" s="24"/>
      <c r="AF13" s="24"/>
      <c r="AG13" s="24"/>
      <c r="AH13" s="24"/>
      <c r="AI13" s="24"/>
      <c r="AN13" s="1" t="str">
        <f>CONCATENATE(I13,L13,M13,P13,Q13)</f>
        <v>080-5574-3593</v>
      </c>
    </row>
    <row r="14" spans="2:45" s="1" customFormat="1" ht="18" customHeight="1" x14ac:dyDescent="0.15">
      <c r="B14" s="397" t="s">
        <v>87</v>
      </c>
      <c r="C14" s="398"/>
      <c r="D14" s="398"/>
      <c r="E14" s="398"/>
      <c r="F14" s="398"/>
      <c r="G14" s="399"/>
      <c r="H14" s="223"/>
      <c r="I14" s="223"/>
      <c r="J14" s="223"/>
      <c r="K14" s="223"/>
      <c r="L14" s="223"/>
      <c r="M14" s="223"/>
      <c r="N14" s="223"/>
      <c r="O14" s="134" t="s">
        <v>271</v>
      </c>
      <c r="P14" s="420" t="s">
        <v>547</v>
      </c>
      <c r="Q14" s="421"/>
      <c r="R14" s="421"/>
      <c r="S14" s="422"/>
      <c r="T14" s="221"/>
      <c r="U14" s="221"/>
      <c r="V14" s="221"/>
      <c r="W14" s="221"/>
      <c r="AE14" s="24"/>
      <c r="AF14" s="24"/>
      <c r="AG14" s="24"/>
      <c r="AH14" s="24"/>
      <c r="AI14" s="24"/>
      <c r="AN14" s="249">
        <v>1</v>
      </c>
      <c r="AP14" s="419" t="str">
        <f>VLOOKUP(AN14,その他!A4:C51,2)</f>
        <v>00</v>
      </c>
      <c r="AQ14" s="419"/>
    </row>
    <row r="15" spans="2:45" s="1" customFormat="1" ht="18" customHeight="1" x14ac:dyDescent="0.15">
      <c r="B15" s="24"/>
      <c r="C15" s="24"/>
      <c r="D15" s="24"/>
      <c r="E15" s="24"/>
      <c r="F15" s="24"/>
      <c r="G15" s="24"/>
      <c r="AE15" s="24"/>
      <c r="AF15" s="24"/>
      <c r="AG15" s="24"/>
      <c r="AH15" s="24"/>
      <c r="AI15" s="24"/>
      <c r="AJ15" s="24"/>
      <c r="AM15" s="250">
        <v>1</v>
      </c>
      <c r="AN15" s="231" t="s">
        <v>554</v>
      </c>
      <c r="AQ15" s="1" t="str">
        <f>IF(AM15=1,AN15,AN16)</f>
        <v>令和</v>
      </c>
    </row>
    <row r="16" spans="2:45" s="1" customFormat="1" ht="18" customHeight="1" x14ac:dyDescent="0.15">
      <c r="B16" s="397" t="s">
        <v>88</v>
      </c>
      <c r="C16" s="398"/>
      <c r="D16" s="398"/>
      <c r="E16" s="398"/>
      <c r="F16" s="398"/>
      <c r="G16" s="399"/>
      <c r="H16" s="416"/>
      <c r="I16" s="417"/>
      <c r="J16" s="417"/>
      <c r="K16" s="418"/>
      <c r="L16" s="414">
        <v>4</v>
      </c>
      <c r="M16" s="415"/>
      <c r="N16" s="224" t="s">
        <v>75</v>
      </c>
      <c r="O16" s="414">
        <v>3</v>
      </c>
      <c r="P16" s="415"/>
      <c r="Q16" s="224" t="s">
        <v>187</v>
      </c>
      <c r="R16" s="414">
        <v>31</v>
      </c>
      <c r="S16" s="415"/>
      <c r="T16" s="134" t="s">
        <v>298</v>
      </c>
      <c r="AG16" s="24"/>
      <c r="AH16" s="24"/>
      <c r="AI16" s="24"/>
      <c r="AJ16" s="24"/>
      <c r="AK16" s="24"/>
      <c r="AL16" s="24"/>
      <c r="AN16" s="231" t="s">
        <v>185</v>
      </c>
    </row>
    <row r="17" spans="2:44" s="1" customFormat="1" ht="18" customHeight="1" x14ac:dyDescent="0.15">
      <c r="B17" s="397" t="s">
        <v>89</v>
      </c>
      <c r="C17" s="398"/>
      <c r="D17" s="398"/>
      <c r="E17" s="398"/>
      <c r="F17" s="398"/>
      <c r="G17" s="399"/>
      <c r="H17" s="410"/>
      <c r="I17" s="411"/>
      <c r="J17" s="411"/>
      <c r="K17" s="411"/>
      <c r="L17" s="411"/>
      <c r="M17" s="225"/>
      <c r="N17" s="72"/>
      <c r="O17" s="72"/>
      <c r="P17" s="72"/>
      <c r="Q17" s="24"/>
      <c r="R17" s="24"/>
      <c r="S17" s="24"/>
      <c r="T17" s="24"/>
      <c r="U17" s="24"/>
      <c r="V17" s="24"/>
      <c r="W17" s="24"/>
      <c r="X17" s="24"/>
      <c r="Y17" s="24"/>
      <c r="Z17" s="24"/>
      <c r="AA17" s="24"/>
      <c r="AB17" s="24"/>
      <c r="AC17" s="24"/>
      <c r="AD17" s="24"/>
      <c r="AE17" s="24"/>
      <c r="AF17" s="24"/>
      <c r="AG17" s="24"/>
      <c r="AH17" s="24"/>
      <c r="AI17" s="24"/>
      <c r="AJ17" s="24"/>
      <c r="AM17" s="250">
        <v>1</v>
      </c>
      <c r="AN17" s="231" t="s">
        <v>296</v>
      </c>
      <c r="AP17" s="251"/>
      <c r="AQ17" s="251"/>
      <c r="AR17" s="251"/>
    </row>
    <row r="18" spans="2:44" s="1" customFormat="1" ht="18" customHeight="1" x14ac:dyDescent="0.15">
      <c r="B18" s="37"/>
      <c r="C18" s="226"/>
      <c r="D18" s="226"/>
      <c r="E18" s="226"/>
      <c r="F18" s="226"/>
      <c r="G18" s="226"/>
      <c r="H18" s="16"/>
      <c r="I18" s="16"/>
      <c r="J18" s="16"/>
      <c r="K18" s="16"/>
      <c r="L18" s="16"/>
      <c r="M18" s="24"/>
      <c r="N18" s="72"/>
      <c r="O18" s="72"/>
      <c r="P18" s="72"/>
      <c r="Q18" s="24"/>
      <c r="R18" s="24"/>
      <c r="S18" s="24"/>
      <c r="T18" s="24"/>
      <c r="U18" s="24"/>
      <c r="V18" s="24"/>
      <c r="W18" s="24"/>
      <c r="X18" s="24"/>
      <c r="Y18" s="24"/>
      <c r="Z18" s="24"/>
      <c r="AA18" s="24"/>
      <c r="AB18" s="24"/>
      <c r="AC18" s="24"/>
      <c r="AD18" s="24"/>
      <c r="AE18" s="24"/>
      <c r="AF18" s="24"/>
      <c r="AG18" s="24"/>
      <c r="AH18" s="24"/>
      <c r="AI18" s="24"/>
      <c r="AJ18" s="24"/>
      <c r="AM18" s="251"/>
      <c r="AN18" s="231" t="s">
        <v>297</v>
      </c>
      <c r="AO18" s="251"/>
      <c r="AP18" s="251"/>
      <c r="AQ18" s="251"/>
      <c r="AR18" s="251"/>
    </row>
    <row r="19" spans="2:44" s="1" customFormat="1" ht="18" customHeight="1" x14ac:dyDescent="0.15">
      <c r="B19" s="395" t="s">
        <v>215</v>
      </c>
      <c r="C19" s="396"/>
      <c r="D19" s="396"/>
      <c r="E19" s="396"/>
      <c r="F19" s="396"/>
      <c r="G19" s="396"/>
      <c r="H19" s="412">
        <v>25000</v>
      </c>
      <c r="I19" s="412"/>
      <c r="J19" s="412"/>
      <c r="K19" s="412"/>
      <c r="L19" s="412"/>
      <c r="M19" s="24"/>
      <c r="N19" s="413" t="s">
        <v>216</v>
      </c>
      <c r="O19" s="413"/>
      <c r="P19" s="413"/>
      <c r="Q19" s="24"/>
      <c r="R19" s="24"/>
      <c r="S19" s="24"/>
      <c r="T19" s="24"/>
      <c r="U19" s="24"/>
      <c r="V19" s="24"/>
      <c r="W19" s="24"/>
      <c r="X19" s="24"/>
      <c r="Y19" s="24"/>
      <c r="Z19" s="24"/>
      <c r="AA19" s="24"/>
      <c r="AB19" s="24"/>
      <c r="AC19" s="24"/>
      <c r="AD19" s="24"/>
      <c r="AE19" s="24"/>
      <c r="AF19" s="24"/>
      <c r="AG19" s="24"/>
      <c r="AH19" s="24"/>
      <c r="AI19" s="24"/>
      <c r="AJ19" s="24"/>
      <c r="AM19" s="251"/>
      <c r="AN19" s="251"/>
      <c r="AO19" s="251"/>
      <c r="AP19" s="251"/>
      <c r="AQ19" s="251"/>
      <c r="AR19" s="251"/>
    </row>
    <row r="20" spans="2:44" s="1" customFormat="1" ht="18" customHeight="1" x14ac:dyDescent="0.15">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row>
    <row r="21" spans="2:44" ht="24.95" customHeight="1" x14ac:dyDescent="0.15">
      <c r="B21" s="227"/>
      <c r="C21" s="228"/>
      <c r="D21" s="125" t="s">
        <v>90</v>
      </c>
      <c r="E21" s="125" t="s">
        <v>91</v>
      </c>
      <c r="F21" s="125" t="s">
        <v>92</v>
      </c>
      <c r="G21" s="125" t="s">
        <v>93</v>
      </c>
      <c r="H21" s="125" t="s">
        <v>450</v>
      </c>
      <c r="I21" s="125" t="s">
        <v>61</v>
      </c>
      <c r="J21" s="125" t="s">
        <v>94</v>
      </c>
      <c r="K21" s="125" t="s">
        <v>95</v>
      </c>
      <c r="L21" s="125" t="s">
        <v>65</v>
      </c>
      <c r="M21" s="125" t="s">
        <v>96</v>
      </c>
      <c r="N21" s="125" t="s">
        <v>97</v>
      </c>
      <c r="O21" s="125" t="s">
        <v>98</v>
      </c>
      <c r="P21" s="125" t="s">
        <v>548</v>
      </c>
      <c r="Q21" s="125" t="s">
        <v>451</v>
      </c>
      <c r="R21" s="125" t="s">
        <v>99</v>
      </c>
      <c r="S21" s="125" t="s">
        <v>452</v>
      </c>
      <c r="T21" s="125" t="s">
        <v>100</v>
      </c>
      <c r="U21" s="125" t="s">
        <v>101</v>
      </c>
      <c r="V21" s="125" t="s">
        <v>102</v>
      </c>
      <c r="W21" s="125" t="s">
        <v>103</v>
      </c>
      <c r="X21" s="125" t="s">
        <v>104</v>
      </c>
      <c r="Y21" s="125" t="s">
        <v>105</v>
      </c>
      <c r="Z21" s="125" t="s">
        <v>106</v>
      </c>
      <c r="AA21" s="125" t="s">
        <v>107</v>
      </c>
      <c r="AB21" s="125" t="s">
        <v>108</v>
      </c>
      <c r="AC21" s="125" t="s">
        <v>109</v>
      </c>
      <c r="AD21" s="125" t="s">
        <v>110</v>
      </c>
      <c r="AE21" s="125" t="s">
        <v>111</v>
      </c>
      <c r="AF21" s="125" t="s">
        <v>532</v>
      </c>
      <c r="AG21" s="71"/>
      <c r="AH21" s="71"/>
      <c r="AI21" s="71"/>
    </row>
    <row r="22" spans="2:44" ht="24.95" customHeight="1" x14ac:dyDescent="0.15">
      <c r="B22" s="393" t="s">
        <v>112</v>
      </c>
      <c r="C22" s="394"/>
      <c r="D22" s="211">
        <v>2</v>
      </c>
      <c r="E22" s="211">
        <v>1</v>
      </c>
      <c r="F22" s="211"/>
      <c r="G22" s="211"/>
      <c r="H22" s="211">
        <v>2</v>
      </c>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H22" s="409" t="s">
        <v>178</v>
      </c>
      <c r="AI22" s="409"/>
      <c r="AJ22" s="409"/>
    </row>
    <row r="23" spans="2:44" ht="24.95" customHeight="1" x14ac:dyDescent="0.15">
      <c r="B23" s="393" t="s">
        <v>113</v>
      </c>
      <c r="C23" s="394"/>
      <c r="D23" s="211">
        <v>9</v>
      </c>
      <c r="E23" s="211">
        <v>9</v>
      </c>
      <c r="F23" s="211"/>
      <c r="G23" s="211"/>
      <c r="H23" s="211">
        <v>9</v>
      </c>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H23" s="409" t="s">
        <v>179</v>
      </c>
      <c r="AI23" s="409"/>
      <c r="AJ23" s="409"/>
    </row>
    <row r="25" spans="2:44" ht="18" customHeight="1" x14ac:dyDescent="0.15">
      <c r="B25" s="229"/>
    </row>
    <row r="26" spans="2:44" ht="18" customHeight="1" x14ac:dyDescent="0.15">
      <c r="B26" s="229"/>
    </row>
    <row r="27" spans="2:44" ht="18" customHeight="1" x14ac:dyDescent="0.15">
      <c r="B27" s="229"/>
    </row>
    <row r="28" spans="2:44" ht="18" customHeight="1" x14ac:dyDescent="0.15">
      <c r="B28" s="229"/>
    </row>
    <row r="29" spans="2:44" ht="18" customHeight="1" x14ac:dyDescent="0.15">
      <c r="B29" s="1"/>
    </row>
    <row r="31" spans="2:44" ht="18" customHeight="1" x14ac:dyDescent="0.15">
      <c r="B31" s="230" t="s">
        <v>135</v>
      </c>
      <c r="AJ31" s="71"/>
    </row>
    <row r="32" spans="2:44" ht="18" customHeight="1" x14ac:dyDescent="0.15">
      <c r="B32" s="230" t="s">
        <v>136</v>
      </c>
    </row>
    <row r="33" spans="2:2" ht="18" customHeight="1" x14ac:dyDescent="0.15">
      <c r="B33" s="230" t="s">
        <v>124</v>
      </c>
    </row>
    <row r="34" spans="2:2" ht="18" customHeight="1" x14ac:dyDescent="0.15">
      <c r="B34" s="230" t="s">
        <v>453</v>
      </c>
    </row>
  </sheetData>
  <sheetProtection algorithmName="SHA-512" hashValue="YaSE3RPVTADfjMW2qHfmfIg9K7QE5ASdKsYy2SIMdHwrbzMfhMl6ZUIzMxPz0ob8HSod9ILOb3mqLocl3LxCpQ==" saltValue="pha4P5MOYWNfwr2dX4yoGQ==" spinCount="100000" sheet="1" objects="1" scenarios="1" selectLockedCells="1"/>
  <mergeCells count="40">
    <mergeCell ref="AP14:AQ14"/>
    <mergeCell ref="I13:K13"/>
    <mergeCell ref="P14:S14"/>
    <mergeCell ref="AN8:AR8"/>
    <mergeCell ref="AN9:AR9"/>
    <mergeCell ref="H12:W12"/>
    <mergeCell ref="M13:O13"/>
    <mergeCell ref="H11:W11"/>
    <mergeCell ref="I8:K8"/>
    <mergeCell ref="Q13:S13"/>
    <mergeCell ref="M8:O8"/>
    <mergeCell ref="H9:W9"/>
    <mergeCell ref="H10:W10"/>
    <mergeCell ref="AE9:AH10"/>
    <mergeCell ref="AA9:AD10"/>
    <mergeCell ref="AH23:AJ23"/>
    <mergeCell ref="H17:L17"/>
    <mergeCell ref="H19:L19"/>
    <mergeCell ref="N19:P19"/>
    <mergeCell ref="L16:M16"/>
    <mergeCell ref="O16:P16"/>
    <mergeCell ref="R16:S16"/>
    <mergeCell ref="AH22:AJ22"/>
    <mergeCell ref="H16:K16"/>
    <mergeCell ref="Y3:AD3"/>
    <mergeCell ref="B9:G10"/>
    <mergeCell ref="G5:U5"/>
    <mergeCell ref="B8:G8"/>
    <mergeCell ref="I4:T4"/>
    <mergeCell ref="F3:W3"/>
    <mergeCell ref="E1:X2"/>
    <mergeCell ref="B23:C23"/>
    <mergeCell ref="B19:G19"/>
    <mergeCell ref="B17:G17"/>
    <mergeCell ref="B22:C22"/>
    <mergeCell ref="B16:G16"/>
    <mergeCell ref="B13:G13"/>
    <mergeCell ref="B14:G14"/>
    <mergeCell ref="B11:G11"/>
    <mergeCell ref="B12:G12"/>
  </mergeCells>
  <phoneticPr fontId="2"/>
  <dataValidations xWindow="294" yWindow="473" count="16">
    <dataValidation allowBlank="1" showErrorMessage="1" prompt="郵便番号_x000a_入力_x000a_○○○－_x000a_○○○○" sqref="H8 P8" xr:uid="{00000000-0002-0000-0400-000000000000}"/>
    <dataValidation imeMode="halfAlpha" allowBlank="1" showErrorMessage="1" prompt="電話番号入力_x000a_例）_x000a_○○○－_x000a_○○○－_x000a_○○○○" sqref="L13" xr:uid="{00000000-0002-0000-0400-000001000000}"/>
    <dataValidation type="whole" allowBlank="1" showInputMessage="1" showErrorMessage="1" errorTitle="不正な入力です！" error="１と２以外は入力不可" prompt="１．法人_x000a_２．個人" sqref="H18:L18" xr:uid="{00000000-0002-0000-0400-000002000000}">
      <formula1>1</formula1>
      <formula2>2</formula2>
    </dataValidation>
    <dataValidation type="whole" imeMode="disabled" allowBlank="1" showErrorMessage="1" errorTitle="不正な入力です！" error="９　以外入力不可" prompt="９．審査対象" sqref="D23:AF23" xr:uid="{00000000-0002-0000-0400-000003000000}">
      <formula1>9</formula1>
      <formula2>9</formula2>
    </dataValidation>
    <dataValidation type="textLength" imeMode="hiragana" allowBlank="1" showInputMessage="1" showErrorMessage="1" error="１６字以内で入力してください！" prompt="住所１入力" sqref="H9:W9" xr:uid="{00000000-0002-0000-0400-000004000000}">
      <formula1>0</formula1>
      <formula2>16</formula2>
    </dataValidation>
    <dataValidation type="textLength" imeMode="hiragana" allowBlank="1" showInputMessage="1" showErrorMessage="1" error="１６字以内で入力してください！" prompt="住所２入力" sqref="H10:W10" xr:uid="{00000000-0002-0000-0400-000005000000}">
      <formula1>0</formula1>
      <formula2>16</formula2>
    </dataValidation>
    <dataValidation imeMode="hiragana" allowBlank="1" showInputMessage="1" showErrorMessage="1" prompt="会社名入力" sqref="H11:W11" xr:uid="{00000000-0002-0000-0400-000006000000}"/>
    <dataValidation imeMode="hiragana" allowBlank="1" showInputMessage="1" showErrorMessage="1" prompt="代表者名入力_x000a_（役職不要）" sqref="H12:W12" xr:uid="{00000000-0002-0000-0400-000007000000}"/>
    <dataValidation type="whole" allowBlank="1" showErrorMessage="1" errorTitle="不正な入力です！" error="１と２以外は入力不可" prompt="１．法人_x000a_２．個人" sqref="H17:L17" xr:uid="{00000000-0002-0000-0400-000008000000}">
      <formula1>1</formula1>
      <formula2>2</formula2>
    </dataValidation>
    <dataValidation allowBlank="1" showErrorMessage="1" prompt="建設業_x000a_許可番号入力_x000a_例）○○ー○○○○○○" sqref="O14" xr:uid="{00000000-0002-0000-0400-000009000000}"/>
    <dataValidation type="whole" imeMode="disabled" allowBlank="1" showInputMessage="1" showErrorMessage="1" errorTitle="不正な入力です！" error="１　と　２　以外入力不可" sqref="D22:AF22" xr:uid="{00000000-0002-0000-0400-00000A000000}">
      <formula1>1</formula1>
      <formula2>2</formula2>
    </dataValidation>
    <dataValidation imeMode="disabled" operator="greaterThanOrEqual" allowBlank="1" showErrorMessage="1" prompt="電話番号入力_x000a_例）_x000a_○○○－_x000a_○○○－_x000a_○○○○" sqref="I13:K13 I8:K8" xr:uid="{00000000-0002-0000-0400-00000B000000}"/>
    <dataValidation imeMode="disabled" allowBlank="1" showErrorMessage="1" prompt="電話番号入力_x000a_例）_x000a_○○○－_x000a_○○○－_x000a_○○○○" sqref="Q13:S13 M13:O13 M8:O8" xr:uid="{00000000-0002-0000-0400-00000C000000}"/>
    <dataValidation type="whole" imeMode="disabled" operator="greaterThanOrEqual" allowBlank="1" showInputMessage="1" showErrorMessage="1" sqref="H19:L19" xr:uid="{00000000-0002-0000-0400-00000D000000}">
      <formula1>0</formula1>
    </dataValidation>
    <dataValidation imeMode="disabled" allowBlank="1" showInputMessage="1" showErrorMessage="1" sqref="P14:S14 L16:M16 O16:P16 R16:S16" xr:uid="{00000000-0002-0000-0400-00000E000000}"/>
    <dataValidation allowBlank="1" showErrorMessage="1" prompt="電話番号入力_x000a_例）_x000a_○○○－_x000a_○○○－_x000a_○○○○" sqref="H13 L8 P13" xr:uid="{00000000-0002-0000-0400-00000F000000}"/>
  </dataValidations>
  <pageMargins left="0.59055118110236227" right="0.19685039370078741" top="0.39370078740157483" bottom="0.19685039370078741" header="0" footer="0"/>
  <pageSetup paperSize="9"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7</xdr:col>
                    <xdr:colOff>19050</xdr:colOff>
                    <xdr:row>16</xdr:row>
                    <xdr:rowOff>9525</xdr:rowOff>
                  </from>
                  <to>
                    <xdr:col>12</xdr:col>
                    <xdr:colOff>142875</xdr:colOff>
                    <xdr:row>17</xdr:row>
                    <xdr:rowOff>9525</xdr:rowOff>
                  </to>
                </anchor>
              </controlPr>
            </control>
          </mc:Choice>
        </mc:AlternateContent>
        <mc:AlternateContent xmlns:mc="http://schemas.openxmlformats.org/markup-compatibility/2006">
          <mc:Choice Requires="x14">
            <control shapeId="1179" r:id="rId5" name="Drop Down 155">
              <controlPr defaultSize="0" autoLine="0" autoPict="0">
                <anchor moveWithCells="1">
                  <from>
                    <xdr:col>7</xdr:col>
                    <xdr:colOff>19050</xdr:colOff>
                    <xdr:row>15</xdr:row>
                    <xdr:rowOff>0</xdr:rowOff>
                  </from>
                  <to>
                    <xdr:col>10</xdr:col>
                    <xdr:colOff>171450</xdr:colOff>
                    <xdr:row>15</xdr:row>
                    <xdr:rowOff>228600</xdr:rowOff>
                  </to>
                </anchor>
              </controlPr>
            </control>
          </mc:Choice>
        </mc:AlternateContent>
        <mc:AlternateContent xmlns:mc="http://schemas.openxmlformats.org/markup-compatibility/2006">
          <mc:Choice Requires="x14">
            <control shapeId="1180" r:id="rId6" name="Drop Down 156">
              <controlPr defaultSize="0" autoLine="0" autoPict="0">
                <anchor moveWithCells="1">
                  <from>
                    <xdr:col>7</xdr:col>
                    <xdr:colOff>28575</xdr:colOff>
                    <xdr:row>13</xdr:row>
                    <xdr:rowOff>9525</xdr:rowOff>
                  </from>
                  <to>
                    <xdr:col>13</xdr:col>
                    <xdr:colOff>180975</xdr:colOff>
                    <xdr:row>14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3"/>
  <dimension ref="B1:T41"/>
  <sheetViews>
    <sheetView showGridLines="0" showRowColHeaders="0" zoomScaleNormal="100" workbookViewId="0">
      <pane xSplit="6" ySplit="6" topLeftCell="G7" activePane="bottomRight" state="frozen"/>
      <selection activeCell="D7" sqref="D7"/>
      <selection pane="topRight" activeCell="D7" sqref="D7"/>
      <selection pane="bottomLeft" activeCell="D7" sqref="D7"/>
      <selection pane="bottomRight" activeCell="G7" sqref="G7"/>
    </sheetView>
  </sheetViews>
  <sheetFormatPr defaultColWidth="9" defaultRowHeight="18" customHeight="1" x14ac:dyDescent="0.15"/>
  <cols>
    <col min="1" max="1" width="3.625" style="1" customWidth="1"/>
    <col min="2" max="2" width="2.875" style="29" customWidth="1"/>
    <col min="3" max="3" width="2.875" style="30" customWidth="1"/>
    <col min="4" max="4" width="2.125" style="1" customWidth="1"/>
    <col min="5" max="5" width="2.875" style="1" customWidth="1"/>
    <col min="6" max="6" width="11.125" style="1" customWidth="1"/>
    <col min="7" max="13" width="9.625" style="1" customWidth="1"/>
    <col min="14" max="14" width="3.625" style="1" customWidth="1"/>
    <col min="15" max="15" width="0.875" style="1" customWidth="1"/>
    <col min="16" max="16" width="11.625" style="1" customWidth="1"/>
    <col min="17" max="18" width="7.625" style="1" customWidth="1"/>
    <col min="19" max="19" width="7.625" style="28" customWidth="1"/>
    <col min="20" max="20" width="0.875" style="1" customWidth="1"/>
    <col min="21" max="16384" width="9" style="1"/>
  </cols>
  <sheetData>
    <row r="1" spans="2:20" ht="18" customHeight="1" x14ac:dyDescent="0.15">
      <c r="B1" s="130" t="s">
        <v>40</v>
      </c>
      <c r="C1" s="25"/>
      <c r="G1" s="26"/>
      <c r="H1" s="26"/>
      <c r="I1" s="26"/>
      <c r="L1" s="455" t="s">
        <v>31</v>
      </c>
      <c r="M1" s="455"/>
      <c r="P1" s="27"/>
      <c r="Q1" s="27"/>
    </row>
    <row r="2" spans="2:20" s="2" customFormat="1" ht="18" customHeight="1" x14ac:dyDescent="0.15">
      <c r="B2" s="130" t="s">
        <v>199</v>
      </c>
      <c r="C2" s="27"/>
      <c r="G2" s="27"/>
      <c r="J2" s="27"/>
      <c r="K2" s="27"/>
      <c r="L2" s="155" t="s">
        <v>27</v>
      </c>
      <c r="M2" s="248">
        <v>2309</v>
      </c>
      <c r="O2" s="148"/>
      <c r="P2" s="446" t="s">
        <v>126</v>
      </c>
      <c r="Q2" s="446"/>
      <c r="R2" s="446"/>
      <c r="S2" s="446"/>
      <c r="T2" s="148"/>
    </row>
    <row r="3" spans="2:20" s="2" customFormat="1" ht="18" customHeight="1" x14ac:dyDescent="0.15">
      <c r="B3" s="29"/>
      <c r="C3" s="30"/>
      <c r="D3" s="31"/>
      <c r="E3" s="31"/>
      <c r="F3" s="31"/>
      <c r="G3" s="30"/>
      <c r="H3" s="31"/>
      <c r="I3" s="31"/>
      <c r="J3" s="30"/>
      <c r="K3" s="30"/>
      <c r="L3" s="156" t="s">
        <v>198</v>
      </c>
      <c r="M3" s="248">
        <v>397</v>
      </c>
      <c r="O3" s="148"/>
      <c r="P3" s="281"/>
      <c r="Q3" s="140" t="s">
        <v>461</v>
      </c>
      <c r="R3" s="140" t="s">
        <v>462</v>
      </c>
      <c r="S3" s="140" t="s">
        <v>463</v>
      </c>
      <c r="T3" s="148"/>
    </row>
    <row r="4" spans="2:20" s="2" customFormat="1" ht="18" customHeight="1" thickBot="1" x14ac:dyDescent="0.2">
      <c r="B4" s="462" t="s">
        <v>562</v>
      </c>
      <c r="C4" s="462" t="s">
        <v>565</v>
      </c>
      <c r="D4" s="465"/>
      <c r="E4" s="466"/>
      <c r="F4" s="467"/>
      <c r="G4" s="458" t="s">
        <v>560</v>
      </c>
      <c r="H4" s="458"/>
      <c r="I4" s="458"/>
      <c r="J4" s="458"/>
      <c r="K4" s="458"/>
      <c r="L4" s="458"/>
      <c r="M4" s="459"/>
      <c r="N4" s="31"/>
      <c r="O4" s="149"/>
      <c r="P4" s="139"/>
      <c r="Q4" s="141">
        <f>'経営状況・自己資本額、平均利益額'!W3</f>
        <v>0</v>
      </c>
      <c r="R4" s="141">
        <f>'経営状況・自己資本額、平均利益額'!X3</f>
        <v>665</v>
      </c>
      <c r="S4" s="141">
        <f>'経営状況・自己資本額、平均利益額'!Y3</f>
        <v>0</v>
      </c>
      <c r="T4" s="148"/>
    </row>
    <row r="5" spans="2:20" s="16" customFormat="1" ht="18" customHeight="1" thickTop="1" x14ac:dyDescent="0.15">
      <c r="B5" s="463"/>
      <c r="C5" s="463"/>
      <c r="D5" s="468"/>
      <c r="E5" s="469"/>
      <c r="F5" s="470"/>
      <c r="G5" s="453" t="s">
        <v>557</v>
      </c>
      <c r="H5" s="447" t="s">
        <v>558</v>
      </c>
      <c r="I5" s="447" t="s">
        <v>559</v>
      </c>
      <c r="J5" s="447" t="s">
        <v>45</v>
      </c>
      <c r="K5" s="447" t="s">
        <v>46</v>
      </c>
      <c r="L5" s="289" t="str">
        <f>IF(その他!F5=1,その他!G5,その他!G6)</f>
        <v>３年平均</v>
      </c>
      <c r="M5" s="456" t="s">
        <v>130</v>
      </c>
      <c r="N5" s="32"/>
      <c r="O5" s="150"/>
      <c r="P5" s="139"/>
      <c r="Q5" s="142"/>
      <c r="R5" s="142"/>
      <c r="S5" s="142"/>
      <c r="T5" s="151"/>
    </row>
    <row r="6" spans="2:20" s="16" customFormat="1" ht="18" customHeight="1" x14ac:dyDescent="0.15">
      <c r="B6" s="464"/>
      <c r="C6" s="464"/>
      <c r="D6" s="471"/>
      <c r="E6" s="472"/>
      <c r="F6" s="473"/>
      <c r="G6" s="454"/>
      <c r="H6" s="448"/>
      <c r="I6" s="448"/>
      <c r="J6" s="448"/>
      <c r="K6" s="448"/>
      <c r="L6" s="290" t="s">
        <v>133</v>
      </c>
      <c r="M6" s="457"/>
      <c r="N6" s="32"/>
      <c r="O6" s="150"/>
      <c r="P6" s="143"/>
      <c r="Q6" s="140" t="s">
        <v>464</v>
      </c>
      <c r="R6" s="140" t="s">
        <v>465</v>
      </c>
      <c r="S6" s="140" t="s">
        <v>466</v>
      </c>
      <c r="T6" s="151"/>
    </row>
    <row r="7" spans="2:20" ht="18" customHeight="1" x14ac:dyDescent="0.15">
      <c r="B7" s="76" t="str">
        <f>IF(基本事項!D23=9,"*","")</f>
        <v>*</v>
      </c>
      <c r="C7" s="81" t="str">
        <f>IF(基本事項!D22=1,"般",IF(基本事項!D22=2,"特",""))</f>
        <v>特</v>
      </c>
      <c r="D7" s="401" t="s">
        <v>48</v>
      </c>
      <c r="E7" s="451"/>
      <c r="F7" s="452"/>
      <c r="G7" s="95">
        <v>295630</v>
      </c>
      <c r="H7" s="95">
        <v>210570</v>
      </c>
      <c r="I7" s="95">
        <v>156130</v>
      </c>
      <c r="J7" s="79">
        <f>IF(B7="","",ROUND((G7+H7)/2,0))</f>
        <v>253100</v>
      </c>
      <c r="K7" s="79">
        <f>IF(B7="","",ROUND((TRUNC((H7+I7)/2)*2+G7)/3,0))</f>
        <v>220777</v>
      </c>
      <c r="L7" s="302">
        <f>IF(その他!$F$5=1,J7,K7)</f>
        <v>220777</v>
      </c>
      <c r="M7" s="303">
        <f>IF(B7="","",IF(その他!$F$5=1,完成工事高X1!G7,完成工事高X1!M7))</f>
        <v>801</v>
      </c>
      <c r="N7" s="33"/>
      <c r="O7" s="152"/>
      <c r="P7" s="144" t="s">
        <v>48</v>
      </c>
      <c r="Q7" s="145">
        <f>'経営状況・自己資本額、平均利益額'!W6</f>
        <v>414</v>
      </c>
      <c r="R7" s="145">
        <f>'経営状況・自己資本額、平均利益額'!X6</f>
        <v>801</v>
      </c>
      <c r="S7" s="145">
        <f>'経営状況・自己資本額、平均利益額'!Y6</f>
        <v>456</v>
      </c>
      <c r="T7" s="153"/>
    </row>
    <row r="8" spans="2:20" ht="18" customHeight="1" x14ac:dyDescent="0.15">
      <c r="B8" s="77"/>
      <c r="C8" s="83"/>
      <c r="D8" s="128"/>
      <c r="E8" s="449" t="s">
        <v>454</v>
      </c>
      <c r="F8" s="450"/>
      <c r="G8" s="95">
        <v>0</v>
      </c>
      <c r="H8" s="95">
        <v>0</v>
      </c>
      <c r="I8" s="95">
        <v>0</v>
      </c>
      <c r="J8" s="79">
        <f>IF(B7="","",ROUND((G8+H8)/2,0))</f>
        <v>0</v>
      </c>
      <c r="K8" s="79">
        <f>IF(B7="","",ROUND((TRUNC((H8+I8)/2)*2+G8)/3,0))</f>
        <v>0</v>
      </c>
      <c r="L8" s="302">
        <f>IF(その他!$F$5=1,J8,K8)</f>
        <v>0</v>
      </c>
      <c r="M8" s="303">
        <f>IF(B7="","",IF(その他!$F$5=1,完成工事高X1!G8,完成工事高X1!M8))</f>
        <v>397</v>
      </c>
      <c r="N8" s="33"/>
      <c r="O8" s="152"/>
      <c r="P8" s="144" t="s">
        <v>125</v>
      </c>
      <c r="Q8" s="145">
        <f>'経営状況・自己資本額、平均利益額'!W7</f>
        <v>313</v>
      </c>
      <c r="R8" s="145">
        <f>'経営状況・自己資本額、平均利益額'!X7</f>
        <v>397</v>
      </c>
      <c r="S8" s="145">
        <f>'経営状況・自己資本額、平均利益額'!Y7</f>
        <v>456</v>
      </c>
      <c r="T8" s="153"/>
    </row>
    <row r="9" spans="2:20" ht="18" customHeight="1" x14ac:dyDescent="0.15">
      <c r="B9" s="84" t="str">
        <f>IF(基本事項!E23=9,"*","")</f>
        <v>*</v>
      </c>
      <c r="C9" s="85" t="str">
        <f>IF(基本事項!E22=1,"般",IF(基本事項!E22=2,"特",""))</f>
        <v>般</v>
      </c>
      <c r="D9" s="397" t="s">
        <v>53</v>
      </c>
      <c r="E9" s="444"/>
      <c r="F9" s="445"/>
      <c r="G9" s="95">
        <v>0</v>
      </c>
      <c r="H9" s="95">
        <v>0</v>
      </c>
      <c r="I9" s="95">
        <v>0</v>
      </c>
      <c r="J9" s="79">
        <f>IF(B9="","",ROUND((G9+H9)/2,0))</f>
        <v>0</v>
      </c>
      <c r="K9" s="79">
        <f>IF(B9="","",ROUND((TRUNC((H9+I9)/2)*2+G9)/3,0))</f>
        <v>0</v>
      </c>
      <c r="L9" s="302">
        <f>IF(その他!$F$5=1,J9,K9)</f>
        <v>0</v>
      </c>
      <c r="M9" s="303">
        <f>IF(B9="","",IF(その他!$F$5=1,完成工事高X1!G9,完成工事高X1!M9))</f>
        <v>397</v>
      </c>
      <c r="N9" s="33"/>
      <c r="O9" s="152"/>
      <c r="P9" s="144" t="s">
        <v>53</v>
      </c>
      <c r="Q9" s="145">
        <f>'経営状況・自己資本額、平均利益額'!W8</f>
        <v>313</v>
      </c>
      <c r="R9" s="145">
        <f>'経営状況・自己資本額、平均利益額'!X8</f>
        <v>397</v>
      </c>
      <c r="S9" s="145">
        <f>'経営状況・自己資本額、平均利益額'!Y8</f>
        <v>456</v>
      </c>
      <c r="T9" s="153"/>
    </row>
    <row r="10" spans="2:20" ht="18" customHeight="1" x14ac:dyDescent="0.15">
      <c r="B10" s="84" t="str">
        <f>IF(基本事項!F23=9,"*","")</f>
        <v/>
      </c>
      <c r="C10" s="85" t="str">
        <f>IF(基本事項!F22=1,"般",IF(基本事項!F22=2,"特",""))</f>
        <v/>
      </c>
      <c r="D10" s="397" t="s">
        <v>54</v>
      </c>
      <c r="E10" s="444"/>
      <c r="F10" s="445"/>
      <c r="G10" s="95"/>
      <c r="H10" s="95"/>
      <c r="I10" s="95"/>
      <c r="J10" s="79" t="str">
        <f>IF(B10="","",ROUND((G10+H10)/2,0))</f>
        <v/>
      </c>
      <c r="K10" s="79" t="str">
        <f>IF(B10="","",ROUND((TRUNC((H10+I10)/2)*2+G10)/3,0))</f>
        <v/>
      </c>
      <c r="L10" s="302" t="str">
        <f>IF(その他!$F$5=1,J10,K10)</f>
        <v/>
      </c>
      <c r="M10" s="303" t="str">
        <f>IF(B10="","",IF(その他!$F$5=1,完成工事高X1!G10,完成工事高X1!M10))</f>
        <v/>
      </c>
      <c r="N10" s="33"/>
      <c r="O10" s="152"/>
      <c r="P10" s="144" t="s">
        <v>54</v>
      </c>
      <c r="Q10" s="145" t="str">
        <f>'経営状況・自己資本額、平均利益額'!W9</f>
        <v/>
      </c>
      <c r="R10" s="145" t="str">
        <f>'経営状況・自己資本額、平均利益額'!X9</f>
        <v/>
      </c>
      <c r="S10" s="145" t="str">
        <f>'経営状況・自己資本額、平均利益額'!Y9</f>
        <v/>
      </c>
      <c r="T10" s="153"/>
    </row>
    <row r="11" spans="2:20" ht="18" customHeight="1" x14ac:dyDescent="0.15">
      <c r="B11" s="84" t="str">
        <f>IF(基本事項!G23=9,"*","")</f>
        <v/>
      </c>
      <c r="C11" s="85" t="str">
        <f>IF(基本事項!G22=1,"般",IF(基本事項!G22=2,"特",""))</f>
        <v/>
      </c>
      <c r="D11" s="397" t="s">
        <v>56</v>
      </c>
      <c r="E11" s="444"/>
      <c r="F11" s="445"/>
      <c r="G11" s="95"/>
      <c r="H11" s="95"/>
      <c r="I11" s="95"/>
      <c r="J11" s="79" t="str">
        <f>IF(B11="","",ROUND((G11+H11)/2,0))</f>
        <v/>
      </c>
      <c r="K11" s="79" t="str">
        <f>IF(B11="","",ROUND((TRUNC((H11+I11)/2)*2+G11)/3,0))</f>
        <v/>
      </c>
      <c r="L11" s="302" t="str">
        <f>IF(その他!$F$5=1,J11,K11)</f>
        <v/>
      </c>
      <c r="M11" s="303" t="str">
        <f>IF(B11="","",IF(その他!$F$5=1,完成工事高X1!G11,完成工事高X1!M11))</f>
        <v/>
      </c>
      <c r="N11" s="33"/>
      <c r="O11" s="152"/>
      <c r="P11" s="144" t="s">
        <v>56</v>
      </c>
      <c r="Q11" s="145" t="str">
        <f>'経営状況・自己資本額、平均利益額'!W10</f>
        <v/>
      </c>
      <c r="R11" s="145" t="str">
        <f>'経営状況・自己資本額、平均利益額'!X10</f>
        <v/>
      </c>
      <c r="S11" s="145" t="str">
        <f>'経営状況・自己資本額、平均利益額'!Y10</f>
        <v/>
      </c>
      <c r="T11" s="153"/>
    </row>
    <row r="12" spans="2:20" ht="18" customHeight="1" x14ac:dyDescent="0.15">
      <c r="B12" s="76" t="str">
        <f>IF(基本事項!H23=9,"*","")</f>
        <v>*</v>
      </c>
      <c r="C12" s="82" t="str">
        <f>IF(基本事項!H22=1,"般",IF(基本事項!H22=2,"特",""))</f>
        <v>特</v>
      </c>
      <c r="D12" s="474" t="s">
        <v>58</v>
      </c>
      <c r="E12" s="451"/>
      <c r="F12" s="452"/>
      <c r="G12" s="95">
        <v>120</v>
      </c>
      <c r="H12" s="95">
        <v>500</v>
      </c>
      <c r="I12" s="95">
        <v>100</v>
      </c>
      <c r="J12" s="79">
        <f>IF(B12="","",ROUND((G12+H12)/2,0))</f>
        <v>310</v>
      </c>
      <c r="K12" s="79">
        <f>IF(B12="","",ROUND((TRUNC((H12+I12)/2)*2+G12)/3,0))</f>
        <v>240</v>
      </c>
      <c r="L12" s="302">
        <f>IF(その他!$F$5=1,J12,K12)</f>
        <v>240</v>
      </c>
      <c r="M12" s="303">
        <f>IF(B12="","",IF(その他!$F$5=1,完成工事高X1!G12,完成工事高X1!M12))</f>
        <v>400</v>
      </c>
      <c r="N12" s="33"/>
      <c r="O12" s="152"/>
      <c r="P12" s="144" t="s">
        <v>58</v>
      </c>
      <c r="Q12" s="145">
        <f>'経営状況・自己資本額、平均利益額'!W11</f>
        <v>314</v>
      </c>
      <c r="R12" s="145">
        <f>'経営状況・自己資本額、平均利益額'!X11</f>
        <v>400</v>
      </c>
      <c r="S12" s="145">
        <f>'経営状況・自己資本額、平均利益額'!Y11</f>
        <v>456</v>
      </c>
      <c r="T12" s="153"/>
    </row>
    <row r="13" spans="2:20" ht="18" customHeight="1" x14ac:dyDescent="0.15">
      <c r="B13" s="77"/>
      <c r="C13" s="83"/>
      <c r="D13" s="128"/>
      <c r="E13" s="449" t="s">
        <v>59</v>
      </c>
      <c r="F13" s="450"/>
      <c r="G13" s="95">
        <v>0</v>
      </c>
      <c r="H13" s="95">
        <v>0</v>
      </c>
      <c r="I13" s="95">
        <v>0</v>
      </c>
      <c r="J13" s="79">
        <f>IF(B12="","",ROUND((G13+H13)/2,0))</f>
        <v>0</v>
      </c>
      <c r="K13" s="79">
        <f>IF(B12="","",ROUND((TRUNC((H13+I13)/2)*2+G13)/3,0))</f>
        <v>0</v>
      </c>
      <c r="L13" s="302">
        <f>IF(その他!$F$5=1,J13,K13)</f>
        <v>0</v>
      </c>
      <c r="M13" s="303">
        <f>IF(B12="","",IF(その他!$F$5=1,完成工事高X1!G13,完成工事高X1!M13))</f>
        <v>397</v>
      </c>
      <c r="N13" s="33"/>
      <c r="O13" s="152"/>
      <c r="P13" s="144" t="s">
        <v>59</v>
      </c>
      <c r="Q13" s="145">
        <f>'経営状況・自己資本額、平均利益額'!W12</f>
        <v>313</v>
      </c>
      <c r="R13" s="145">
        <f>'経営状況・自己資本額、平均利益額'!X12</f>
        <v>397</v>
      </c>
      <c r="S13" s="145">
        <f>'経営状況・自己資本額、平均利益額'!Y12</f>
        <v>456</v>
      </c>
      <c r="T13" s="153"/>
    </row>
    <row r="14" spans="2:20" ht="18" customHeight="1" x14ac:dyDescent="0.15">
      <c r="B14" s="84" t="str">
        <f>IF(基本事項!I23=9,"*","")</f>
        <v/>
      </c>
      <c r="C14" s="85" t="str">
        <f>IF(基本事項!I22=1,"般",IF(基本事項!I22=2,"特",""))</f>
        <v/>
      </c>
      <c r="D14" s="397" t="s">
        <v>61</v>
      </c>
      <c r="E14" s="444"/>
      <c r="F14" s="445"/>
      <c r="G14" s="95"/>
      <c r="H14" s="95"/>
      <c r="I14" s="95"/>
      <c r="J14" s="79" t="str">
        <f t="shared" ref="J14:J19" si="0">IF(B14="","",ROUND((G14+H14)/2,0))</f>
        <v/>
      </c>
      <c r="K14" s="79" t="str">
        <f t="shared" ref="K14:K19" si="1">IF(B14="","",ROUND((TRUNC((H14+I14)/2)*2+G14)/3,0))</f>
        <v/>
      </c>
      <c r="L14" s="302" t="str">
        <f>IF(その他!$F$5=1,J14,K14)</f>
        <v/>
      </c>
      <c r="M14" s="303" t="str">
        <f>IF(B14="","",IF(その他!$F$5=1,完成工事高X1!G14,完成工事高X1!M14))</f>
        <v/>
      </c>
      <c r="N14" s="33"/>
      <c r="O14" s="152"/>
      <c r="P14" s="144" t="s">
        <v>61</v>
      </c>
      <c r="Q14" s="145" t="str">
        <f>'経営状況・自己資本額、平均利益額'!W13</f>
        <v/>
      </c>
      <c r="R14" s="145" t="str">
        <f>'経営状況・自己資本額、平均利益額'!X13</f>
        <v/>
      </c>
      <c r="S14" s="145" t="str">
        <f>'経営状況・自己資本額、平均利益額'!Y13</f>
        <v/>
      </c>
      <c r="T14" s="153"/>
    </row>
    <row r="15" spans="2:20" ht="18" customHeight="1" x14ac:dyDescent="0.15">
      <c r="B15" s="84" t="str">
        <f>IF(基本事項!J23=9,"*","")</f>
        <v/>
      </c>
      <c r="C15" s="85" t="str">
        <f>IF(基本事項!J22=1,"般",IF(基本事項!J22=2,"特",""))</f>
        <v/>
      </c>
      <c r="D15" s="397" t="s">
        <v>62</v>
      </c>
      <c r="E15" s="444"/>
      <c r="F15" s="445"/>
      <c r="G15" s="95"/>
      <c r="H15" s="95"/>
      <c r="I15" s="95"/>
      <c r="J15" s="79" t="str">
        <f t="shared" si="0"/>
        <v/>
      </c>
      <c r="K15" s="79" t="str">
        <f t="shared" si="1"/>
        <v/>
      </c>
      <c r="L15" s="302" t="str">
        <f>IF(その他!$F$5=1,J15,K15)</f>
        <v/>
      </c>
      <c r="M15" s="303" t="str">
        <f>IF(B15="","",IF(その他!$F$5=1,完成工事高X1!G15,完成工事高X1!M15))</f>
        <v/>
      </c>
      <c r="N15" s="33"/>
      <c r="O15" s="152"/>
      <c r="P15" s="144" t="s">
        <v>62</v>
      </c>
      <c r="Q15" s="145" t="str">
        <f>'経営状況・自己資本額、平均利益額'!W14</f>
        <v/>
      </c>
      <c r="R15" s="145" t="str">
        <f>'経営状況・自己資本額、平均利益額'!X14</f>
        <v/>
      </c>
      <c r="S15" s="145" t="str">
        <f>'経営状況・自己資本額、平均利益額'!Y14</f>
        <v/>
      </c>
      <c r="T15" s="153"/>
    </row>
    <row r="16" spans="2:20" ht="18" customHeight="1" x14ac:dyDescent="0.15">
      <c r="B16" s="84" t="str">
        <f>IF(基本事項!K23=9,"*","")</f>
        <v/>
      </c>
      <c r="C16" s="85" t="str">
        <f>IF(基本事項!K22=1,"般",IF(基本事項!K22=2,"特",""))</f>
        <v/>
      </c>
      <c r="D16" s="397" t="s">
        <v>64</v>
      </c>
      <c r="E16" s="444"/>
      <c r="F16" s="445"/>
      <c r="G16" s="95"/>
      <c r="H16" s="95"/>
      <c r="I16" s="95"/>
      <c r="J16" s="79" t="str">
        <f t="shared" si="0"/>
        <v/>
      </c>
      <c r="K16" s="79" t="str">
        <f t="shared" si="1"/>
        <v/>
      </c>
      <c r="L16" s="302" t="str">
        <f>IF(その他!$F$5=1,J16,K16)</f>
        <v/>
      </c>
      <c r="M16" s="303" t="str">
        <f>IF(B16="","",IF(その他!$F$5=1,完成工事高X1!G16,完成工事高X1!M16))</f>
        <v/>
      </c>
      <c r="N16" s="33"/>
      <c r="O16" s="152"/>
      <c r="P16" s="144" t="s">
        <v>64</v>
      </c>
      <c r="Q16" s="145" t="str">
        <f>'経営状況・自己資本額、平均利益額'!W15</f>
        <v/>
      </c>
      <c r="R16" s="145" t="str">
        <f>'経営状況・自己資本額、平均利益額'!X15</f>
        <v/>
      </c>
      <c r="S16" s="145" t="str">
        <f>'経営状況・自己資本額、平均利益額'!Y15</f>
        <v/>
      </c>
      <c r="T16" s="153"/>
    </row>
    <row r="17" spans="2:20" ht="18" customHeight="1" x14ac:dyDescent="0.15">
      <c r="B17" s="84" t="str">
        <f>IF(基本事項!L23=9,"*","")</f>
        <v/>
      </c>
      <c r="C17" s="85" t="str">
        <f>IF(基本事項!L22=1,"般",IF(基本事項!L22=2,"特",""))</f>
        <v/>
      </c>
      <c r="D17" s="397" t="s">
        <v>65</v>
      </c>
      <c r="E17" s="444"/>
      <c r="F17" s="445"/>
      <c r="G17" s="95"/>
      <c r="H17" s="95"/>
      <c r="I17" s="95"/>
      <c r="J17" s="79" t="str">
        <f t="shared" si="0"/>
        <v/>
      </c>
      <c r="K17" s="79" t="str">
        <f t="shared" si="1"/>
        <v/>
      </c>
      <c r="L17" s="302" t="str">
        <f>IF(その他!$F$5=1,J17,K17)</f>
        <v/>
      </c>
      <c r="M17" s="303" t="str">
        <f>IF(B17="","",IF(その他!$F$5=1,完成工事高X1!G17,完成工事高X1!M17))</f>
        <v/>
      </c>
      <c r="N17" s="33"/>
      <c r="O17" s="152"/>
      <c r="P17" s="144" t="s">
        <v>65</v>
      </c>
      <c r="Q17" s="145" t="str">
        <f>'経営状況・自己資本額、平均利益額'!W16</f>
        <v/>
      </c>
      <c r="R17" s="145" t="str">
        <f>'経営状況・自己資本額、平均利益額'!X16</f>
        <v/>
      </c>
      <c r="S17" s="145" t="str">
        <f>'経営状況・自己資本額、平均利益額'!Y16</f>
        <v/>
      </c>
      <c r="T17" s="153"/>
    </row>
    <row r="18" spans="2:20" ht="18" customHeight="1" x14ac:dyDescent="0.15">
      <c r="B18" s="84" t="str">
        <f>IF(基本事項!M23=9,"*","")</f>
        <v/>
      </c>
      <c r="C18" s="85" t="str">
        <f>IF(基本事項!M22=1,"般",IF(基本事項!M22=2,"特",""))</f>
        <v/>
      </c>
      <c r="D18" s="475" t="s">
        <v>455</v>
      </c>
      <c r="E18" s="444"/>
      <c r="F18" s="445"/>
      <c r="G18" s="95"/>
      <c r="H18" s="95"/>
      <c r="I18" s="95"/>
      <c r="J18" s="79" t="str">
        <f t="shared" si="0"/>
        <v/>
      </c>
      <c r="K18" s="79" t="str">
        <f t="shared" si="1"/>
        <v/>
      </c>
      <c r="L18" s="302" t="str">
        <f>IF(その他!$F$5=1,J18,K18)</f>
        <v/>
      </c>
      <c r="M18" s="303" t="str">
        <f>IF(B18="","",IF(その他!$F$5=1,完成工事高X1!G18,完成工事高X1!M18))</f>
        <v/>
      </c>
      <c r="N18" s="33"/>
      <c r="O18" s="152"/>
      <c r="P18" s="144" t="s">
        <v>396</v>
      </c>
      <c r="Q18" s="145" t="str">
        <f>'経営状況・自己資本額、平均利益額'!W17</f>
        <v/>
      </c>
      <c r="R18" s="145" t="str">
        <f>'経営状況・自己資本額、平均利益額'!X17</f>
        <v/>
      </c>
      <c r="S18" s="145" t="str">
        <f>'経営状況・自己資本額、平均利益額'!Y17</f>
        <v/>
      </c>
      <c r="T18" s="153"/>
    </row>
    <row r="19" spans="2:20" ht="18" customHeight="1" x14ac:dyDescent="0.15">
      <c r="B19" s="76" t="str">
        <f>IF(基本事項!N23=9,"*","")</f>
        <v/>
      </c>
      <c r="C19" s="82" t="str">
        <f>IF(基本事項!N22=1,"般",IF(基本事項!N22=2,"特",""))</f>
        <v/>
      </c>
      <c r="D19" s="401" t="s">
        <v>67</v>
      </c>
      <c r="E19" s="451"/>
      <c r="F19" s="452"/>
      <c r="G19" s="95"/>
      <c r="H19" s="95"/>
      <c r="I19" s="95"/>
      <c r="J19" s="79" t="str">
        <f t="shared" si="0"/>
        <v/>
      </c>
      <c r="K19" s="79" t="str">
        <f t="shared" si="1"/>
        <v/>
      </c>
      <c r="L19" s="302" t="str">
        <f>IF(その他!$F$5=1,J19,K19)</f>
        <v/>
      </c>
      <c r="M19" s="303" t="str">
        <f>IF(B19="","",IF(その他!$F$5=1,完成工事高X1!G19,完成工事高X1!M19))</f>
        <v/>
      </c>
      <c r="N19" s="33"/>
      <c r="O19" s="152"/>
      <c r="P19" s="144" t="s">
        <v>67</v>
      </c>
      <c r="Q19" s="145" t="str">
        <f>'経営状況・自己資本額、平均利益額'!W18</f>
        <v/>
      </c>
      <c r="R19" s="145" t="str">
        <f>'経営状況・自己資本額、平均利益額'!X18</f>
        <v/>
      </c>
      <c r="S19" s="145" t="str">
        <f>'経営状況・自己資本額、平均利益額'!Y18</f>
        <v/>
      </c>
      <c r="T19" s="153"/>
    </row>
    <row r="20" spans="2:20" ht="18" customHeight="1" x14ac:dyDescent="0.15">
      <c r="B20" s="76"/>
      <c r="C20" s="82"/>
      <c r="D20" s="129"/>
      <c r="E20" s="449" t="s">
        <v>70</v>
      </c>
      <c r="F20" s="450"/>
      <c r="G20" s="95"/>
      <c r="H20" s="95"/>
      <c r="I20" s="95"/>
      <c r="J20" s="79" t="str">
        <f>IF(B19="","",ROUND((G20+H20)/2,0))</f>
        <v/>
      </c>
      <c r="K20" s="79" t="str">
        <f>IF(B19="","",ROUND((TRUNC((H20+I20)/2)*2+G20)/3,0))</f>
        <v/>
      </c>
      <c r="L20" s="302" t="str">
        <f>IF(その他!$F$5=1,J20,K20)</f>
        <v/>
      </c>
      <c r="M20" s="303" t="str">
        <f>IF(B19="","",IF(その他!$F$5=1,完成工事高X1!G20,完成工事高X1!M20))</f>
        <v/>
      </c>
      <c r="N20" s="33"/>
      <c r="O20" s="152"/>
      <c r="P20" s="144" t="s">
        <v>70</v>
      </c>
      <c r="Q20" s="145" t="str">
        <f>'経営状況・自己資本額、平均利益額'!W19</f>
        <v/>
      </c>
      <c r="R20" s="145" t="str">
        <f>'経営状況・自己資本額、平均利益額'!X19</f>
        <v/>
      </c>
      <c r="S20" s="145" t="str">
        <f>'経営状況・自己資本額、平均利益額'!Y19</f>
        <v/>
      </c>
      <c r="T20" s="153"/>
    </row>
    <row r="21" spans="2:20" ht="18" customHeight="1" x14ac:dyDescent="0.15">
      <c r="B21" s="84" t="str">
        <f>IF(基本事項!O23=9,"*","")</f>
        <v/>
      </c>
      <c r="C21" s="85" t="str">
        <f>IF(基本事項!O22=1,"般",IF(基本事項!O22=2,"特",""))</f>
        <v/>
      </c>
      <c r="D21" s="397" t="s">
        <v>71</v>
      </c>
      <c r="E21" s="444"/>
      <c r="F21" s="445"/>
      <c r="G21" s="95"/>
      <c r="H21" s="95"/>
      <c r="I21" s="95"/>
      <c r="J21" s="79" t="str">
        <f t="shared" ref="J21:J38" si="2">IF(B21="","",ROUND((G21+H21)/2,0))</f>
        <v/>
      </c>
      <c r="K21" s="79" t="str">
        <f t="shared" ref="K21:K38" si="3">IF(B21="","",ROUND((TRUNC((H21+I21)/2)*2+G21)/3,0))</f>
        <v/>
      </c>
      <c r="L21" s="302" t="str">
        <f>IF(その他!$F$5=1,J21,K21)</f>
        <v/>
      </c>
      <c r="M21" s="303" t="str">
        <f>IF(B21="","",IF(その他!$F$5=1,完成工事高X1!G21,完成工事高X1!M21))</f>
        <v/>
      </c>
      <c r="N21" s="33"/>
      <c r="O21" s="152"/>
      <c r="P21" s="144" t="s">
        <v>71</v>
      </c>
      <c r="Q21" s="145" t="str">
        <f>'経営状況・自己資本額、平均利益額'!W20</f>
        <v/>
      </c>
      <c r="R21" s="145" t="str">
        <f>'経営状況・自己資本額、平均利益額'!X20</f>
        <v/>
      </c>
      <c r="S21" s="145" t="str">
        <f>'経営状況・自己資本額、平均利益額'!Y20</f>
        <v/>
      </c>
      <c r="T21" s="153"/>
    </row>
    <row r="22" spans="2:20" ht="18" customHeight="1" x14ac:dyDescent="0.15">
      <c r="B22" s="84" t="str">
        <f>IF(基本事項!P23=9,"*","")</f>
        <v/>
      </c>
      <c r="C22" s="85" t="str">
        <f>IF(基本事項!P22=1,"般",IF(基本事項!P22=2,"特",""))</f>
        <v/>
      </c>
      <c r="D22" s="397" t="s">
        <v>549</v>
      </c>
      <c r="E22" s="444"/>
      <c r="F22" s="445"/>
      <c r="G22" s="95"/>
      <c r="H22" s="95"/>
      <c r="I22" s="95"/>
      <c r="J22" s="79" t="str">
        <f t="shared" si="2"/>
        <v/>
      </c>
      <c r="K22" s="79" t="str">
        <f t="shared" si="3"/>
        <v/>
      </c>
      <c r="L22" s="302" t="str">
        <f>IF(その他!$F$5=1,J22,K22)</f>
        <v/>
      </c>
      <c r="M22" s="303" t="str">
        <f>IF(B22="","",IF(その他!$F$5=1,完成工事高X1!G22,完成工事高X1!M22))</f>
        <v/>
      </c>
      <c r="N22" s="33"/>
      <c r="O22" s="152"/>
      <c r="P22" s="144" t="s">
        <v>549</v>
      </c>
      <c r="Q22" s="145" t="str">
        <f>'経営状況・自己資本額、平均利益額'!W21</f>
        <v/>
      </c>
      <c r="R22" s="145" t="str">
        <f>'経営状況・自己資本額、平均利益額'!X21</f>
        <v/>
      </c>
      <c r="S22" s="145" t="str">
        <f>'経営状況・自己資本額、平均利益額'!Y21</f>
        <v/>
      </c>
      <c r="T22" s="153"/>
    </row>
    <row r="23" spans="2:20" ht="18" customHeight="1" x14ac:dyDescent="0.15">
      <c r="B23" s="84" t="str">
        <f>IF(基本事項!Q23=9,"*","")</f>
        <v/>
      </c>
      <c r="C23" s="85" t="str">
        <f>IF(基本事項!Q22=1,"般",IF(基本事項!Q22=2,"特",""))</f>
        <v/>
      </c>
      <c r="D23" s="397" t="s">
        <v>456</v>
      </c>
      <c r="E23" s="444"/>
      <c r="F23" s="445"/>
      <c r="G23" s="95"/>
      <c r="H23" s="95"/>
      <c r="I23" s="95"/>
      <c r="J23" s="79" t="str">
        <f t="shared" si="2"/>
        <v/>
      </c>
      <c r="K23" s="79" t="str">
        <f t="shared" si="3"/>
        <v/>
      </c>
      <c r="L23" s="302" t="str">
        <f>IF(その他!$F$5=1,J23,K23)</f>
        <v/>
      </c>
      <c r="M23" s="303" t="str">
        <f>IF(B23="","",IF(その他!$F$5=1,完成工事高X1!G23,完成工事高X1!M23))</f>
        <v/>
      </c>
      <c r="N23" s="33"/>
      <c r="O23" s="152"/>
      <c r="P23" s="144" t="s">
        <v>397</v>
      </c>
      <c r="Q23" s="145" t="str">
        <f>'経営状況・自己資本額、平均利益額'!W22</f>
        <v/>
      </c>
      <c r="R23" s="145" t="str">
        <f>'経営状況・自己資本額、平均利益額'!X22</f>
        <v/>
      </c>
      <c r="S23" s="145" t="str">
        <f>'経営状況・自己資本額、平均利益額'!Y22</f>
        <v/>
      </c>
      <c r="T23" s="153"/>
    </row>
    <row r="24" spans="2:20" ht="18" customHeight="1" x14ac:dyDescent="0.15">
      <c r="B24" s="84" t="str">
        <f>IF(基本事項!R23=9,"*","")</f>
        <v/>
      </c>
      <c r="C24" s="85" t="str">
        <f>IF(基本事項!R22=1,"般",IF(基本事項!R22=2,"特",""))</f>
        <v/>
      </c>
      <c r="D24" s="397" t="s">
        <v>72</v>
      </c>
      <c r="E24" s="444"/>
      <c r="F24" s="445"/>
      <c r="G24" s="95"/>
      <c r="H24" s="95"/>
      <c r="I24" s="95"/>
      <c r="J24" s="79" t="str">
        <f t="shared" si="2"/>
        <v/>
      </c>
      <c r="K24" s="79" t="str">
        <f t="shared" si="3"/>
        <v/>
      </c>
      <c r="L24" s="302" t="str">
        <f>IF(その他!$F$5=1,J24,K24)</f>
        <v/>
      </c>
      <c r="M24" s="303" t="str">
        <f>IF(B24="","",IF(その他!$F$5=1,完成工事高X1!G24,完成工事高X1!M24))</f>
        <v/>
      </c>
      <c r="N24" s="33"/>
      <c r="O24" s="152"/>
      <c r="P24" s="144" t="s">
        <v>72</v>
      </c>
      <c r="Q24" s="145" t="str">
        <f>'経営状況・自己資本額、平均利益額'!W23</f>
        <v/>
      </c>
      <c r="R24" s="145" t="str">
        <f>'経営状況・自己資本額、平均利益額'!X23</f>
        <v/>
      </c>
      <c r="S24" s="145" t="str">
        <f>'経営状況・自己資本額、平均利益額'!Y23</f>
        <v/>
      </c>
      <c r="T24" s="153"/>
    </row>
    <row r="25" spans="2:20" ht="18" customHeight="1" x14ac:dyDescent="0.15">
      <c r="B25" s="84" t="str">
        <f>IF(基本事項!S23=9,"*","")</f>
        <v/>
      </c>
      <c r="C25" s="85" t="str">
        <f>IF(基本事項!S22=1,"般",IF(基本事項!S22=2,"特",""))</f>
        <v/>
      </c>
      <c r="D25" s="397" t="s">
        <v>457</v>
      </c>
      <c r="E25" s="444"/>
      <c r="F25" s="445"/>
      <c r="G25" s="95"/>
      <c r="H25" s="95"/>
      <c r="I25" s="95"/>
      <c r="J25" s="79" t="str">
        <f t="shared" si="2"/>
        <v/>
      </c>
      <c r="K25" s="79" t="str">
        <f t="shared" si="3"/>
        <v/>
      </c>
      <c r="L25" s="302" t="str">
        <f>IF(その他!$F$5=1,J25,K25)</f>
        <v/>
      </c>
      <c r="M25" s="303" t="str">
        <f>IF(B25="","",IF(その他!$F$5=1,完成工事高X1!G25,完成工事高X1!M25))</f>
        <v/>
      </c>
      <c r="N25" s="33"/>
      <c r="O25" s="152"/>
      <c r="P25" s="144" t="s">
        <v>398</v>
      </c>
      <c r="Q25" s="145" t="str">
        <f>'経営状況・自己資本額、平均利益額'!W24</f>
        <v/>
      </c>
      <c r="R25" s="145" t="str">
        <f>'経営状況・自己資本額、平均利益額'!X24</f>
        <v/>
      </c>
      <c r="S25" s="145" t="str">
        <f>'経営状況・自己資本額、平均利益額'!Y24</f>
        <v/>
      </c>
      <c r="T25" s="153"/>
    </row>
    <row r="26" spans="2:20" ht="18" customHeight="1" x14ac:dyDescent="0.15">
      <c r="B26" s="84" t="str">
        <f>IF(基本事項!T23=9,"*","")</f>
        <v/>
      </c>
      <c r="C26" s="85" t="str">
        <f>IF(基本事項!T22=1,"般",IF(基本事項!T22=2,"特",""))</f>
        <v/>
      </c>
      <c r="D26" s="397" t="s">
        <v>73</v>
      </c>
      <c r="E26" s="444"/>
      <c r="F26" s="445"/>
      <c r="G26" s="95"/>
      <c r="H26" s="95"/>
      <c r="I26" s="95"/>
      <c r="J26" s="79" t="str">
        <f t="shared" si="2"/>
        <v/>
      </c>
      <c r="K26" s="79" t="str">
        <f t="shared" si="3"/>
        <v/>
      </c>
      <c r="L26" s="302" t="str">
        <f>IF(その他!$F$5=1,J26,K26)</f>
        <v/>
      </c>
      <c r="M26" s="303" t="str">
        <f>IF(B26="","",IF(その他!$F$5=1,完成工事高X1!G26,完成工事高X1!M26))</f>
        <v/>
      </c>
      <c r="N26" s="33"/>
      <c r="O26" s="152"/>
      <c r="P26" s="144" t="s">
        <v>73</v>
      </c>
      <c r="Q26" s="145" t="str">
        <f>'経営状況・自己資本額、平均利益額'!W25</f>
        <v/>
      </c>
      <c r="R26" s="145" t="str">
        <f>'経営状況・自己資本額、平均利益額'!X25</f>
        <v/>
      </c>
      <c r="S26" s="145" t="str">
        <f>'経営状況・自己資本額、平均利益額'!Y25</f>
        <v/>
      </c>
      <c r="T26" s="153"/>
    </row>
    <row r="27" spans="2:20" ht="18" customHeight="1" x14ac:dyDescent="0.15">
      <c r="B27" s="84" t="str">
        <f>IF(基本事項!U23=9,"*","")</f>
        <v/>
      </c>
      <c r="C27" s="85" t="str">
        <f>IF(基本事項!U22=1,"般",IF(基本事項!U22=2,"特",""))</f>
        <v/>
      </c>
      <c r="D27" s="397" t="s">
        <v>76</v>
      </c>
      <c r="E27" s="444"/>
      <c r="F27" s="445"/>
      <c r="G27" s="95"/>
      <c r="H27" s="95"/>
      <c r="I27" s="95"/>
      <c r="J27" s="79" t="str">
        <f t="shared" si="2"/>
        <v/>
      </c>
      <c r="K27" s="79" t="str">
        <f t="shared" si="3"/>
        <v/>
      </c>
      <c r="L27" s="302" t="str">
        <f>IF(その他!$F$5=1,J27,K27)</f>
        <v/>
      </c>
      <c r="M27" s="303" t="str">
        <f>IF(B27="","",IF(その他!$F$5=1,完成工事高X1!G27,完成工事高X1!M27))</f>
        <v/>
      </c>
      <c r="N27" s="33"/>
      <c r="O27" s="152"/>
      <c r="P27" s="144" t="s">
        <v>76</v>
      </c>
      <c r="Q27" s="145" t="str">
        <f>'経営状況・自己資本額、平均利益額'!W26</f>
        <v/>
      </c>
      <c r="R27" s="145" t="str">
        <f>'経営状況・自己資本額、平均利益額'!X26</f>
        <v/>
      </c>
      <c r="S27" s="145" t="str">
        <f>'経営状況・自己資本額、平均利益額'!Y26</f>
        <v/>
      </c>
      <c r="T27" s="153"/>
    </row>
    <row r="28" spans="2:20" ht="18" customHeight="1" x14ac:dyDescent="0.15">
      <c r="B28" s="84" t="str">
        <f>IF(基本事項!V23=9,"*","")</f>
        <v/>
      </c>
      <c r="C28" s="85" t="str">
        <f>IF(基本事項!V22=1,"般",IF(基本事項!V22=2,"特",""))</f>
        <v/>
      </c>
      <c r="D28" s="397" t="s">
        <v>77</v>
      </c>
      <c r="E28" s="444"/>
      <c r="F28" s="445"/>
      <c r="G28" s="95"/>
      <c r="H28" s="95"/>
      <c r="I28" s="95"/>
      <c r="J28" s="79" t="str">
        <f t="shared" si="2"/>
        <v/>
      </c>
      <c r="K28" s="79" t="str">
        <f t="shared" si="3"/>
        <v/>
      </c>
      <c r="L28" s="302" t="str">
        <f>IF(その他!$F$5=1,J28,K28)</f>
        <v/>
      </c>
      <c r="M28" s="303" t="str">
        <f>IF(B28="","",IF(その他!$F$5=1,完成工事高X1!G28,完成工事高X1!M28))</f>
        <v/>
      </c>
      <c r="N28" s="33"/>
      <c r="O28" s="152"/>
      <c r="P28" s="146" t="s">
        <v>77</v>
      </c>
      <c r="Q28" s="145" t="str">
        <f>'経営状況・自己資本額、平均利益額'!W27</f>
        <v/>
      </c>
      <c r="R28" s="145" t="str">
        <f>'経営状況・自己資本額、平均利益額'!X27</f>
        <v/>
      </c>
      <c r="S28" s="145" t="str">
        <f>'経営状況・自己資本額、平均利益額'!Y27</f>
        <v/>
      </c>
      <c r="T28" s="153"/>
    </row>
    <row r="29" spans="2:20" ht="18" customHeight="1" x14ac:dyDescent="0.15">
      <c r="B29" s="84" t="str">
        <f>IF(基本事項!W23=9,"*","")</f>
        <v/>
      </c>
      <c r="C29" s="85" t="str">
        <f>IF(基本事項!W22=1,"般",IF(基本事項!W22=2,"特",""))</f>
        <v/>
      </c>
      <c r="D29" s="397" t="s">
        <v>78</v>
      </c>
      <c r="E29" s="444"/>
      <c r="F29" s="445"/>
      <c r="G29" s="95"/>
      <c r="H29" s="95"/>
      <c r="I29" s="95"/>
      <c r="J29" s="79" t="str">
        <f t="shared" si="2"/>
        <v/>
      </c>
      <c r="K29" s="79" t="str">
        <f t="shared" si="3"/>
        <v/>
      </c>
      <c r="L29" s="302" t="str">
        <f>IF(その他!$F$5=1,J29,K29)</f>
        <v/>
      </c>
      <c r="M29" s="303" t="str">
        <f>IF(B29="","",IF(その他!$F$5=1,完成工事高X1!G29,完成工事高X1!M29))</f>
        <v/>
      </c>
      <c r="N29" s="33"/>
      <c r="O29" s="152"/>
      <c r="P29" s="146" t="s">
        <v>78</v>
      </c>
      <c r="Q29" s="145" t="str">
        <f>'経営状況・自己資本額、平均利益額'!W28</f>
        <v/>
      </c>
      <c r="R29" s="145" t="str">
        <f>'経営状況・自己資本額、平均利益額'!X28</f>
        <v/>
      </c>
      <c r="S29" s="145" t="str">
        <f>'経営状況・自己資本額、平均利益額'!Y28</f>
        <v/>
      </c>
      <c r="T29" s="153"/>
    </row>
    <row r="30" spans="2:20" ht="18" customHeight="1" x14ac:dyDescent="0.15">
      <c r="B30" s="84" t="str">
        <f>IF(基本事項!X23=9,"*","")</f>
        <v/>
      </c>
      <c r="C30" s="85" t="str">
        <f>IF(基本事項!X22=1,"般",IF(基本事項!X22=2,"特",""))</f>
        <v/>
      </c>
      <c r="D30" s="397" t="s">
        <v>79</v>
      </c>
      <c r="E30" s="444"/>
      <c r="F30" s="445"/>
      <c r="G30" s="95"/>
      <c r="H30" s="95"/>
      <c r="I30" s="95"/>
      <c r="J30" s="79" t="str">
        <f t="shared" si="2"/>
        <v/>
      </c>
      <c r="K30" s="79" t="str">
        <f t="shared" si="3"/>
        <v/>
      </c>
      <c r="L30" s="302" t="str">
        <f>IF(その他!$F$5=1,J30,K30)</f>
        <v/>
      </c>
      <c r="M30" s="303" t="str">
        <f>IF(B30="","",IF(その他!$F$5=1,完成工事高X1!G30,完成工事高X1!M30))</f>
        <v/>
      </c>
      <c r="N30" s="33"/>
      <c r="O30" s="152"/>
      <c r="P30" s="146" t="s">
        <v>79</v>
      </c>
      <c r="Q30" s="145" t="str">
        <f>'経営状況・自己資本額、平均利益額'!W29</f>
        <v/>
      </c>
      <c r="R30" s="145" t="str">
        <f>'経営状況・自己資本額、平均利益額'!X29</f>
        <v/>
      </c>
      <c r="S30" s="145" t="str">
        <f>'経営状況・自己資本額、平均利益額'!Y29</f>
        <v/>
      </c>
      <c r="T30" s="153"/>
    </row>
    <row r="31" spans="2:20" ht="18" customHeight="1" x14ac:dyDescent="0.15">
      <c r="B31" s="84" t="str">
        <f>IF(基本事項!Y23=9,"*","")</f>
        <v/>
      </c>
      <c r="C31" s="85" t="str">
        <f>IF(基本事項!Y22=1,"般",IF(基本事項!Y22=2,"特",""))</f>
        <v/>
      </c>
      <c r="D31" s="397" t="s">
        <v>80</v>
      </c>
      <c r="E31" s="444"/>
      <c r="F31" s="445"/>
      <c r="G31" s="95"/>
      <c r="H31" s="95"/>
      <c r="I31" s="95"/>
      <c r="J31" s="79" t="str">
        <f t="shared" si="2"/>
        <v/>
      </c>
      <c r="K31" s="79" t="str">
        <f t="shared" si="3"/>
        <v/>
      </c>
      <c r="L31" s="302" t="str">
        <f>IF(その他!$F$5=1,J31,K31)</f>
        <v/>
      </c>
      <c r="M31" s="303" t="str">
        <f>IF(B31="","",IF(その他!$F$5=1,完成工事高X1!G31,完成工事高X1!M31))</f>
        <v/>
      </c>
      <c r="N31" s="33"/>
      <c r="O31" s="152"/>
      <c r="P31" s="146" t="s">
        <v>80</v>
      </c>
      <c r="Q31" s="145" t="str">
        <f>'経営状況・自己資本額、平均利益額'!W30</f>
        <v/>
      </c>
      <c r="R31" s="145" t="str">
        <f>'経営状況・自己資本額、平均利益額'!X30</f>
        <v/>
      </c>
      <c r="S31" s="145" t="str">
        <f>'経営状況・自己資本額、平均利益額'!Y30</f>
        <v/>
      </c>
      <c r="T31" s="153"/>
    </row>
    <row r="32" spans="2:20" ht="18" customHeight="1" x14ac:dyDescent="0.15">
      <c r="B32" s="84" t="str">
        <f>IF(基本事項!Z23=9,"*","")</f>
        <v/>
      </c>
      <c r="C32" s="85" t="str">
        <f>IF(基本事項!Z22=1,"般",IF(基本事項!Z22=2,"特",""))</f>
        <v/>
      </c>
      <c r="D32" s="397" t="s">
        <v>1</v>
      </c>
      <c r="E32" s="444"/>
      <c r="F32" s="445"/>
      <c r="G32" s="95"/>
      <c r="H32" s="95"/>
      <c r="I32" s="95"/>
      <c r="J32" s="79" t="str">
        <f t="shared" si="2"/>
        <v/>
      </c>
      <c r="K32" s="79" t="str">
        <f t="shared" si="3"/>
        <v/>
      </c>
      <c r="L32" s="302" t="str">
        <f>IF(その他!$F$5=1,J32,K32)</f>
        <v/>
      </c>
      <c r="M32" s="303" t="str">
        <f>IF(B32="","",IF(その他!$F$5=1,完成工事高X1!G32,完成工事高X1!M32))</f>
        <v/>
      </c>
      <c r="N32" s="33"/>
      <c r="O32" s="152"/>
      <c r="P32" s="146" t="s">
        <v>1</v>
      </c>
      <c r="Q32" s="145" t="str">
        <f>'経営状況・自己資本額、平均利益額'!W31</f>
        <v/>
      </c>
      <c r="R32" s="145" t="str">
        <f>'経営状況・自己資本額、平均利益額'!X31</f>
        <v/>
      </c>
      <c r="S32" s="145" t="str">
        <f>'経営状況・自己資本額、平均利益額'!Y31</f>
        <v/>
      </c>
      <c r="T32" s="153"/>
    </row>
    <row r="33" spans="2:20" ht="18" customHeight="1" x14ac:dyDescent="0.15">
      <c r="B33" s="84" t="str">
        <f>IF(基本事項!AA23=9,"*","")</f>
        <v/>
      </c>
      <c r="C33" s="85" t="str">
        <f>IF(基本事項!AA22=1,"般",IF(基本事項!AA22=2,"特",""))</f>
        <v/>
      </c>
      <c r="D33" s="397" t="s">
        <v>3</v>
      </c>
      <c r="E33" s="444"/>
      <c r="F33" s="445"/>
      <c r="G33" s="95"/>
      <c r="H33" s="95"/>
      <c r="I33" s="95"/>
      <c r="J33" s="79" t="str">
        <f t="shared" si="2"/>
        <v/>
      </c>
      <c r="K33" s="79" t="str">
        <f t="shared" si="3"/>
        <v/>
      </c>
      <c r="L33" s="302" t="str">
        <f>IF(その他!$F$5=1,J33,K33)</f>
        <v/>
      </c>
      <c r="M33" s="303" t="str">
        <f>IF(B33="","",IF(その他!$F$5=1,完成工事高X1!G33,完成工事高X1!M33))</f>
        <v/>
      </c>
      <c r="N33" s="33"/>
      <c r="O33" s="152"/>
      <c r="P33" s="147" t="s">
        <v>3</v>
      </c>
      <c r="Q33" s="145" t="str">
        <f>'経営状況・自己資本額、平均利益額'!W32</f>
        <v/>
      </c>
      <c r="R33" s="145" t="str">
        <f>'経営状況・自己資本額、平均利益額'!X32</f>
        <v/>
      </c>
      <c r="S33" s="145" t="str">
        <f>'経営状況・自己資本額、平均利益額'!Y32</f>
        <v/>
      </c>
      <c r="T33" s="153"/>
    </row>
    <row r="34" spans="2:20" ht="18" customHeight="1" x14ac:dyDescent="0.15">
      <c r="B34" s="84" t="str">
        <f>IF(基本事項!AB23=9,"*","")</f>
        <v/>
      </c>
      <c r="C34" s="85" t="str">
        <f>IF(基本事項!AB22=1,"般",IF(基本事項!AB22=2,"特",""))</f>
        <v/>
      </c>
      <c r="D34" s="397" t="s">
        <v>5</v>
      </c>
      <c r="E34" s="444"/>
      <c r="F34" s="445"/>
      <c r="G34" s="95"/>
      <c r="H34" s="95"/>
      <c r="I34" s="95"/>
      <c r="J34" s="79" t="str">
        <f t="shared" si="2"/>
        <v/>
      </c>
      <c r="K34" s="79" t="str">
        <f t="shared" si="3"/>
        <v/>
      </c>
      <c r="L34" s="302" t="str">
        <f>IF(その他!$F$5=1,J34,K34)</f>
        <v/>
      </c>
      <c r="M34" s="303" t="str">
        <f>IF(B34="","",IF(その他!$F$5=1,完成工事高X1!G34,完成工事高X1!M34))</f>
        <v/>
      </c>
      <c r="N34" s="33"/>
      <c r="O34" s="152"/>
      <c r="P34" s="146" t="s">
        <v>5</v>
      </c>
      <c r="Q34" s="145" t="str">
        <f>'経営状況・自己資本額、平均利益額'!W33</f>
        <v/>
      </c>
      <c r="R34" s="145" t="str">
        <f>'経営状況・自己資本額、平均利益額'!X33</f>
        <v/>
      </c>
      <c r="S34" s="145" t="str">
        <f>'経営状況・自己資本額、平均利益額'!Y33</f>
        <v/>
      </c>
      <c r="T34" s="153"/>
    </row>
    <row r="35" spans="2:20" ht="18" customHeight="1" x14ac:dyDescent="0.15">
      <c r="B35" s="84" t="str">
        <f>IF(基本事項!AC23=9,"*","")</f>
        <v/>
      </c>
      <c r="C35" s="85" t="str">
        <f>IF(基本事項!AC22=1,"般",IF(基本事項!AC22=2,"特",""))</f>
        <v/>
      </c>
      <c r="D35" s="397" t="s">
        <v>7</v>
      </c>
      <c r="E35" s="444"/>
      <c r="F35" s="445"/>
      <c r="G35" s="95"/>
      <c r="H35" s="95"/>
      <c r="I35" s="95"/>
      <c r="J35" s="79" t="str">
        <f t="shared" si="2"/>
        <v/>
      </c>
      <c r="K35" s="79" t="str">
        <f t="shared" si="3"/>
        <v/>
      </c>
      <c r="L35" s="302" t="str">
        <f>IF(その他!$F$5=1,J35,K35)</f>
        <v/>
      </c>
      <c r="M35" s="303" t="str">
        <f>IF(B35="","",IF(その他!$F$5=1,完成工事高X1!G35,完成工事高X1!M35))</f>
        <v/>
      </c>
      <c r="N35" s="33"/>
      <c r="O35" s="152"/>
      <c r="P35" s="146" t="s">
        <v>7</v>
      </c>
      <c r="Q35" s="145" t="str">
        <f>'経営状況・自己資本額、平均利益額'!W34</f>
        <v/>
      </c>
      <c r="R35" s="145" t="str">
        <f>'経営状況・自己資本額、平均利益額'!X34</f>
        <v/>
      </c>
      <c r="S35" s="145" t="str">
        <f>'経営状況・自己資本額、平均利益額'!Y34</f>
        <v/>
      </c>
      <c r="T35" s="153"/>
    </row>
    <row r="36" spans="2:20" ht="18" customHeight="1" x14ac:dyDescent="0.15">
      <c r="B36" s="84" t="str">
        <f>IF(基本事項!AD23=9,"*","")</f>
        <v/>
      </c>
      <c r="C36" s="85" t="str">
        <f>IF(基本事項!AD22=1,"般",IF(基本事項!AD22=2,"特",""))</f>
        <v/>
      </c>
      <c r="D36" s="397" t="s">
        <v>9</v>
      </c>
      <c r="E36" s="444"/>
      <c r="F36" s="445"/>
      <c r="G36" s="95"/>
      <c r="H36" s="95"/>
      <c r="I36" s="95"/>
      <c r="J36" s="79" t="str">
        <f t="shared" si="2"/>
        <v/>
      </c>
      <c r="K36" s="79" t="str">
        <f t="shared" si="3"/>
        <v/>
      </c>
      <c r="L36" s="302" t="str">
        <f>IF(その他!$F$5=1,J36,K36)</f>
        <v/>
      </c>
      <c r="M36" s="303" t="str">
        <f>IF(B36="","",IF(その他!$F$5=1,完成工事高X1!G36,完成工事高X1!M36))</f>
        <v/>
      </c>
      <c r="N36" s="33"/>
      <c r="O36" s="152"/>
      <c r="P36" s="146" t="s">
        <v>9</v>
      </c>
      <c r="Q36" s="145" t="str">
        <f>'経営状況・自己資本額、平均利益額'!W35</f>
        <v/>
      </c>
      <c r="R36" s="145" t="str">
        <f>'経営状況・自己資本額、平均利益額'!X35</f>
        <v/>
      </c>
      <c r="S36" s="145" t="str">
        <f>'経営状況・自己資本額、平均利益額'!Y35</f>
        <v/>
      </c>
      <c r="T36" s="153"/>
    </row>
    <row r="37" spans="2:20" ht="18" customHeight="1" x14ac:dyDescent="0.15">
      <c r="B37" s="84" t="str">
        <f>IF(基本事項!AE23=9,"*","")</f>
        <v/>
      </c>
      <c r="C37" s="85" t="str">
        <f>IF(基本事項!AE22=1,"般",IF(基本事項!AE22=2,"特",""))</f>
        <v/>
      </c>
      <c r="D37" s="397" t="s">
        <v>12</v>
      </c>
      <c r="E37" s="444"/>
      <c r="F37" s="445"/>
      <c r="G37" s="95"/>
      <c r="H37" s="95"/>
      <c r="I37" s="95"/>
      <c r="J37" s="79" t="str">
        <f t="shared" si="2"/>
        <v/>
      </c>
      <c r="K37" s="79" t="str">
        <f t="shared" si="3"/>
        <v/>
      </c>
      <c r="L37" s="302" t="str">
        <f>IF(その他!$F$5=1,J37,K37)</f>
        <v/>
      </c>
      <c r="M37" s="303" t="str">
        <f>IF(B37="","",IF(その他!$F$5=1,完成工事高X1!G37,完成工事高X1!M37))</f>
        <v/>
      </c>
      <c r="N37" s="33"/>
      <c r="O37" s="152"/>
      <c r="P37" s="146" t="s">
        <v>12</v>
      </c>
      <c r="Q37" s="145" t="str">
        <f>'経営状況・自己資本額、平均利益額'!W36</f>
        <v/>
      </c>
      <c r="R37" s="145" t="str">
        <f>'経営状況・自己資本額、平均利益額'!X36</f>
        <v/>
      </c>
      <c r="S37" s="145" t="str">
        <f>'経営状況・自己資本額、平均利益額'!Y36</f>
        <v/>
      </c>
      <c r="T37" s="153"/>
    </row>
    <row r="38" spans="2:20" ht="18" customHeight="1" x14ac:dyDescent="0.15">
      <c r="B38" s="84" t="str">
        <f>IF(基本事項!AF23=9,"*","")</f>
        <v/>
      </c>
      <c r="C38" s="85" t="str">
        <f>IF(基本事項!AF22=1,"般",IF(基本事項!AF22=2,"特",""))</f>
        <v/>
      </c>
      <c r="D38" s="397" t="s">
        <v>533</v>
      </c>
      <c r="E38" s="444"/>
      <c r="F38" s="445"/>
      <c r="G38" s="95"/>
      <c r="H38" s="95"/>
      <c r="I38" s="95"/>
      <c r="J38" s="79" t="str">
        <f t="shared" si="2"/>
        <v/>
      </c>
      <c r="K38" s="79" t="str">
        <f t="shared" si="3"/>
        <v/>
      </c>
      <c r="L38" s="302" t="str">
        <f>IF(その他!$F$5=1,J38,K38)</f>
        <v/>
      </c>
      <c r="M38" s="303" t="str">
        <f>IF(B38="","",IF(その他!$F$5=1,完成工事高X1!G38,完成工事高X1!M38))</f>
        <v/>
      </c>
      <c r="N38" s="33"/>
      <c r="O38" s="152"/>
      <c r="P38" s="146" t="s">
        <v>533</v>
      </c>
      <c r="Q38" s="145" t="str">
        <f>'経営状況・自己資本額、平均利益額'!W37</f>
        <v/>
      </c>
      <c r="R38" s="145" t="str">
        <f>'経営状況・自己資本額、平均利益額'!X37</f>
        <v/>
      </c>
      <c r="S38" s="145" t="str">
        <f>'経営状況・自己資本額、平均利益額'!Y37</f>
        <v/>
      </c>
      <c r="T38" s="153"/>
    </row>
    <row r="39" spans="2:20" ht="18" customHeight="1" x14ac:dyDescent="0.15">
      <c r="B39" s="84"/>
      <c r="C39" s="85"/>
      <c r="D39" s="397" t="s">
        <v>47</v>
      </c>
      <c r="E39" s="444"/>
      <c r="F39" s="445"/>
      <c r="G39" s="78">
        <v>0</v>
      </c>
      <c r="H39" s="78">
        <v>0</v>
      </c>
      <c r="I39" s="78">
        <v>0</v>
      </c>
      <c r="J39" s="79" t="str">
        <f>IF(AND(G39=0,H39=0),"",ROUND((G39+H39)/2,0))</f>
        <v/>
      </c>
      <c r="K39" s="79" t="str">
        <f>IF(AND(G39=0,H39=0,I39=0),"",ROUND((TRUNC((H39+I39)/2)*2+G39)/3,0))</f>
        <v/>
      </c>
      <c r="L39" s="302" t="str">
        <f>IF(その他!$F$5=1,J39,K39)</f>
        <v/>
      </c>
      <c r="M39" s="304"/>
      <c r="N39" s="33"/>
      <c r="O39" s="152"/>
      <c r="P39" s="152"/>
      <c r="Q39" s="152"/>
      <c r="R39" s="152"/>
      <c r="S39" s="154"/>
      <c r="T39" s="153"/>
    </row>
    <row r="40" spans="2:20" ht="18" customHeight="1" thickBot="1" x14ac:dyDescent="0.2">
      <c r="B40" s="77"/>
      <c r="C40" s="83"/>
      <c r="D40" s="460" t="s">
        <v>114</v>
      </c>
      <c r="E40" s="461"/>
      <c r="F40" s="461"/>
      <c r="G40" s="79">
        <f>SUM(G7:G39)-(G8+G13+G20)</f>
        <v>295750</v>
      </c>
      <c r="H40" s="79">
        <f>SUM(H7:H39)-(H8+H13+H20)</f>
        <v>211070</v>
      </c>
      <c r="I40" s="79">
        <f>SUM(I7:I39)-(I8+I13+I20)</f>
        <v>156230</v>
      </c>
      <c r="J40" s="79">
        <f>ROUND((G40+H40)/2,0)</f>
        <v>253410</v>
      </c>
      <c r="K40" s="79">
        <f>ROUND((TRUNC((H40+I40)/2)*2+G40)/3,0)</f>
        <v>221017</v>
      </c>
      <c r="L40" s="302">
        <f>IF(その他!$F$5=1,J40,K40)</f>
        <v>221017</v>
      </c>
      <c r="M40" s="305"/>
      <c r="N40" s="33"/>
      <c r="O40" s="33"/>
      <c r="P40" s="33"/>
      <c r="Q40" s="33"/>
      <c r="R40" s="33"/>
    </row>
    <row r="41" spans="2:20" ht="18" customHeight="1" thickTop="1" x14ac:dyDescent="0.15"/>
  </sheetData>
  <sheetProtection algorithmName="SHA-512" hashValue="YSktIJIHZEOOJoH7i3Nr8ZbTN7YQ5kicn4uvqksmvJd0wCoPfeKS+QtDldBXh5SjsRCmQ5I3ZrsLtj8tM0/RCA==" saltValue="i9L1nYXfzF7l/IiEV0Rzww==" spinCount="100000" sheet="1" objects="1" scenarios="1" selectLockedCells="1"/>
  <mergeCells count="46">
    <mergeCell ref="E13:F13"/>
    <mergeCell ref="D15:F15"/>
    <mergeCell ref="D16:F16"/>
    <mergeCell ref="D17:F17"/>
    <mergeCell ref="D18:F18"/>
    <mergeCell ref="B4:B6"/>
    <mergeCell ref="C4:C6"/>
    <mergeCell ref="D4:F6"/>
    <mergeCell ref="D12:F12"/>
    <mergeCell ref="D9:F9"/>
    <mergeCell ref="D11:F11"/>
    <mergeCell ref="D40:F40"/>
    <mergeCell ref="D31:F31"/>
    <mergeCell ref="D28:F28"/>
    <mergeCell ref="D26:F26"/>
    <mergeCell ref="D14:F14"/>
    <mergeCell ref="D30:F30"/>
    <mergeCell ref="D19:F19"/>
    <mergeCell ref="D21:F21"/>
    <mergeCell ref="D22:F22"/>
    <mergeCell ref="D23:F23"/>
    <mergeCell ref="D25:F25"/>
    <mergeCell ref="E20:F20"/>
    <mergeCell ref="D27:F27"/>
    <mergeCell ref="D29:F29"/>
    <mergeCell ref="D24:F24"/>
    <mergeCell ref="D32:F32"/>
    <mergeCell ref="L1:M1"/>
    <mergeCell ref="M5:M6"/>
    <mergeCell ref="J5:J6"/>
    <mergeCell ref="G4:M4"/>
    <mergeCell ref="D10:F10"/>
    <mergeCell ref="P2:S2"/>
    <mergeCell ref="I5:I6"/>
    <mergeCell ref="E8:F8"/>
    <mergeCell ref="K5:K6"/>
    <mergeCell ref="D7:F7"/>
    <mergeCell ref="H5:H6"/>
    <mergeCell ref="G5:G6"/>
    <mergeCell ref="D39:F39"/>
    <mergeCell ref="D33:F33"/>
    <mergeCell ref="D34:F34"/>
    <mergeCell ref="D35:F35"/>
    <mergeCell ref="D36:F36"/>
    <mergeCell ref="D37:F37"/>
    <mergeCell ref="D38:F38"/>
  </mergeCells>
  <phoneticPr fontId="2"/>
  <conditionalFormatting sqref="G7 G9:G12 G14:G19 G21:G38">
    <cfRule type="expression" dxfId="41" priority="13" stopIfTrue="1">
      <formula>B7="*"</formula>
    </cfRule>
  </conditionalFormatting>
  <conditionalFormatting sqref="H7 H9:H12 H14:H19 H21:H38">
    <cfRule type="expression" dxfId="40" priority="12" stopIfTrue="1">
      <formula>B7="*"</formula>
    </cfRule>
  </conditionalFormatting>
  <conditionalFormatting sqref="I7 I9:I12 I14:I19 I21:I38">
    <cfRule type="expression" dxfId="39" priority="11" stopIfTrue="1">
      <formula>B7="*"</formula>
    </cfRule>
  </conditionalFormatting>
  <conditionalFormatting sqref="G8">
    <cfRule type="expression" dxfId="38" priority="9" stopIfTrue="1">
      <formula>B7="*"</formula>
    </cfRule>
  </conditionalFormatting>
  <conditionalFormatting sqref="G13">
    <cfRule type="expression" dxfId="37" priority="8" stopIfTrue="1">
      <formula>B12="*"</formula>
    </cfRule>
  </conditionalFormatting>
  <conditionalFormatting sqref="G20">
    <cfRule type="expression" dxfId="36" priority="7" stopIfTrue="1">
      <formula>B19="*"</formula>
    </cfRule>
  </conditionalFormatting>
  <conditionalFormatting sqref="H8">
    <cfRule type="expression" dxfId="35" priority="6" stopIfTrue="1">
      <formula>B7="*"</formula>
    </cfRule>
  </conditionalFormatting>
  <conditionalFormatting sqref="H13">
    <cfRule type="expression" dxfId="34" priority="5" stopIfTrue="1">
      <formula>B12="*"</formula>
    </cfRule>
  </conditionalFormatting>
  <conditionalFormatting sqref="H20">
    <cfRule type="expression" dxfId="33" priority="4" stopIfTrue="1">
      <formula>B19="*"</formula>
    </cfRule>
  </conditionalFormatting>
  <conditionalFormatting sqref="I8">
    <cfRule type="expression" dxfId="32" priority="3" stopIfTrue="1">
      <formula>B7="*"</formula>
    </cfRule>
  </conditionalFormatting>
  <conditionalFormatting sqref="I13">
    <cfRule type="expression" dxfId="31" priority="2" stopIfTrue="1">
      <formula>B12="*"</formula>
    </cfRule>
  </conditionalFormatting>
  <conditionalFormatting sqref="I20">
    <cfRule type="expression" dxfId="30" priority="1" stopIfTrue="1">
      <formula>B19="*"</formula>
    </cfRule>
  </conditionalFormatting>
  <dataValidations count="3">
    <dataValidation allowBlank="1" showInputMessage="1" showErrorMessage="1" prompt="左のプルダウンメニューで選択" sqref="I4" xr:uid="{00000000-0002-0000-0500-000000000000}"/>
    <dataValidation allowBlank="1" showErrorMessage="1" prompt="左のプルダウンメニューで選択" sqref="B1:B2" xr:uid="{00000000-0002-0000-0500-000001000000}"/>
    <dataValidation type="whole" imeMode="disabled" operator="greaterThanOrEqual" allowBlank="1" showErrorMessage="1" errorTitle="不正な入力です！" error="整数以外入力不可" prompt="完成工事高入力_x000a_単位）千円" sqref="G7:I39" xr:uid="{00000000-0002-0000-0500-000002000000}">
      <formula1>0</formula1>
    </dataValidation>
  </dataValidations>
  <pageMargins left="0.78740157480314965" right="0.19685039370078741" top="0.39370078740157483" bottom="0.19685039370078741" header="0" footer="0"/>
  <pageSetup paperSize="9"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2" r:id="rId4" name="Drop Down 4">
              <controlPr defaultSize="0" autoLine="0" autoPict="0">
                <anchor moveWithCells="1">
                  <from>
                    <xdr:col>1</xdr:col>
                    <xdr:colOff>104775</xdr:colOff>
                    <xdr:row>2</xdr:row>
                    <xdr:rowOff>0</xdr:rowOff>
                  </from>
                  <to>
                    <xdr:col>5</xdr:col>
                    <xdr:colOff>685800</xdr:colOff>
                    <xdr:row>2</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X41"/>
  <sheetViews>
    <sheetView showGridLines="0" showRowColHeaders="0" workbookViewId="0">
      <pane xSplit="6" ySplit="6" topLeftCell="G7" activePane="bottomRight" state="frozen"/>
      <selection activeCell="F1" sqref="F1:F65536"/>
      <selection pane="topRight" activeCell="F1" sqref="F1:F65536"/>
      <selection pane="bottomLeft" activeCell="F1" sqref="F1:F65536"/>
      <selection pane="bottomRight" activeCell="G7" sqref="G7"/>
    </sheetView>
  </sheetViews>
  <sheetFormatPr defaultColWidth="9" defaultRowHeight="18" customHeight="1" x14ac:dyDescent="0.15"/>
  <cols>
    <col min="1" max="1" width="3.625" style="1" customWidth="1"/>
    <col min="2" max="2" width="2.875" style="29" customWidth="1"/>
    <col min="3" max="3" width="2.875" style="30" customWidth="1"/>
    <col min="4" max="4" width="2.125" style="1" customWidth="1"/>
    <col min="5" max="5" width="2.875" style="1" customWidth="1"/>
    <col min="6" max="6" width="11.125" style="1" customWidth="1"/>
    <col min="7" max="13" width="9.625" style="1" customWidth="1"/>
    <col min="14" max="14" width="3.625" style="1" customWidth="1"/>
    <col min="15" max="18" width="5.625" style="1" hidden="1" customWidth="1"/>
    <col min="19" max="19" width="0.875" style="1" customWidth="1"/>
    <col min="20" max="20" width="11.625" style="1" customWidth="1"/>
    <col min="21" max="23" width="7.625" style="1" customWidth="1"/>
    <col min="24" max="24" width="0.875" style="1" customWidth="1"/>
    <col min="25" max="16384" width="9" style="1"/>
  </cols>
  <sheetData>
    <row r="1" spans="2:24" ht="18" customHeight="1" x14ac:dyDescent="0.15">
      <c r="B1" s="130" t="s">
        <v>40</v>
      </c>
      <c r="C1" s="174"/>
      <c r="G1" s="26"/>
      <c r="H1" s="26"/>
      <c r="I1" s="26"/>
      <c r="L1" s="455" t="s">
        <v>202</v>
      </c>
      <c r="M1" s="455"/>
      <c r="N1" s="16"/>
      <c r="O1" s="243"/>
      <c r="R1" s="261"/>
    </row>
    <row r="2" spans="2:24" s="177" customFormat="1" ht="18" customHeight="1" x14ac:dyDescent="0.15">
      <c r="B2" s="130" t="s">
        <v>199</v>
      </c>
      <c r="C2" s="174"/>
      <c r="D2" s="175"/>
      <c r="E2" s="175"/>
      <c r="F2" s="175"/>
      <c r="G2" s="476" t="str">
        <f>IF(O3&gt;0,"完成工事高より元請完成工事高が大きい工種が『 "&amp;O3&amp;"工種 』あります。再確認をお願いします。","")</f>
        <v/>
      </c>
      <c r="H2" s="476"/>
      <c r="I2" s="476"/>
      <c r="J2" s="476"/>
      <c r="K2" s="476"/>
      <c r="L2" s="155" t="s">
        <v>27</v>
      </c>
      <c r="M2" s="248">
        <v>2865</v>
      </c>
      <c r="N2" s="36"/>
      <c r="O2" s="2"/>
      <c r="P2" s="2"/>
      <c r="Q2" s="2"/>
      <c r="R2" s="2"/>
      <c r="S2" s="176"/>
      <c r="T2" s="477" t="s">
        <v>126</v>
      </c>
      <c r="U2" s="477"/>
      <c r="V2" s="477"/>
      <c r="W2" s="477"/>
      <c r="X2" s="176"/>
    </row>
    <row r="3" spans="2:24" s="2" customFormat="1" ht="18" customHeight="1" x14ac:dyDescent="0.15">
      <c r="B3" s="29"/>
      <c r="C3" s="30"/>
      <c r="D3" s="31"/>
      <c r="E3" s="31"/>
      <c r="F3" s="31"/>
      <c r="G3" s="476"/>
      <c r="H3" s="476"/>
      <c r="I3" s="476"/>
      <c r="J3" s="476"/>
      <c r="K3" s="476"/>
      <c r="L3" s="156" t="s">
        <v>198</v>
      </c>
      <c r="M3" s="248">
        <v>241</v>
      </c>
      <c r="N3" s="36"/>
      <c r="O3" s="266">
        <f>COUNTIF(O7:Q39,"&lt;0")</f>
        <v>0</v>
      </c>
      <c r="S3" s="176"/>
      <c r="T3" s="151"/>
      <c r="U3" s="161" t="s">
        <v>115</v>
      </c>
      <c r="V3" s="161" t="s">
        <v>116</v>
      </c>
      <c r="W3" s="161" t="s">
        <v>117</v>
      </c>
      <c r="X3" s="148"/>
    </row>
    <row r="4" spans="2:24" s="2" customFormat="1" ht="18" customHeight="1" thickBot="1" x14ac:dyDescent="0.2">
      <c r="B4" s="462" t="s">
        <v>562</v>
      </c>
      <c r="C4" s="462" t="s">
        <v>565</v>
      </c>
      <c r="D4" s="465"/>
      <c r="E4" s="466"/>
      <c r="F4" s="467"/>
      <c r="G4" s="458" t="s">
        <v>561</v>
      </c>
      <c r="H4" s="458"/>
      <c r="I4" s="458"/>
      <c r="J4" s="458"/>
      <c r="K4" s="458"/>
      <c r="L4" s="458"/>
      <c r="M4" s="459"/>
      <c r="N4" s="174"/>
      <c r="O4" s="478" t="s">
        <v>266</v>
      </c>
      <c r="P4" s="478"/>
      <c r="Q4" s="478"/>
      <c r="R4" s="174"/>
      <c r="S4" s="176"/>
      <c r="T4" s="151"/>
      <c r="U4" s="157">
        <f>'経営状況・自己資本額、平均利益額'!W3</f>
        <v>0</v>
      </c>
      <c r="V4" s="157">
        <f>'経営状況・自己資本額、平均利益額'!X3</f>
        <v>665</v>
      </c>
      <c r="W4" s="157">
        <f>'経営状況・自己資本額、平均利益額'!Y3</f>
        <v>0</v>
      </c>
      <c r="X4" s="148"/>
    </row>
    <row r="5" spans="2:24" s="16" customFormat="1" ht="18" customHeight="1" thickTop="1" x14ac:dyDescent="0.15">
      <c r="B5" s="463"/>
      <c r="C5" s="463"/>
      <c r="D5" s="468"/>
      <c r="E5" s="469"/>
      <c r="F5" s="470"/>
      <c r="G5" s="453" t="s">
        <v>557</v>
      </c>
      <c r="H5" s="447" t="s">
        <v>558</v>
      </c>
      <c r="I5" s="447" t="s">
        <v>559</v>
      </c>
      <c r="J5" s="447" t="s">
        <v>45</v>
      </c>
      <c r="K5" s="447" t="s">
        <v>46</v>
      </c>
      <c r="L5" s="289" t="str">
        <f>IF(その他!F5=1,その他!G5,その他!G6)</f>
        <v>３年平均</v>
      </c>
      <c r="M5" s="456" t="s">
        <v>201</v>
      </c>
      <c r="N5" s="179"/>
      <c r="O5" s="267" t="s">
        <v>562</v>
      </c>
      <c r="P5" s="479" t="s">
        <v>558</v>
      </c>
      <c r="Q5" s="479" t="s">
        <v>559</v>
      </c>
      <c r="R5" s="179"/>
      <c r="S5" s="151"/>
      <c r="T5" s="151"/>
      <c r="U5" s="159"/>
      <c r="V5" s="159"/>
      <c r="W5" s="159"/>
      <c r="X5" s="151"/>
    </row>
    <row r="6" spans="2:24" s="16" customFormat="1" ht="18" customHeight="1" x14ac:dyDescent="0.15">
      <c r="B6" s="464"/>
      <c r="C6" s="464"/>
      <c r="D6" s="471"/>
      <c r="E6" s="472"/>
      <c r="F6" s="473"/>
      <c r="G6" s="454"/>
      <c r="H6" s="448"/>
      <c r="I6" s="448"/>
      <c r="J6" s="448"/>
      <c r="K6" s="448"/>
      <c r="L6" s="290" t="s">
        <v>133</v>
      </c>
      <c r="M6" s="457"/>
      <c r="N6" s="179"/>
      <c r="O6" s="268" t="s">
        <v>563</v>
      </c>
      <c r="P6" s="479"/>
      <c r="Q6" s="479"/>
      <c r="R6" s="179"/>
      <c r="S6" s="151"/>
      <c r="T6" s="160"/>
      <c r="U6" s="161" t="s">
        <v>118</v>
      </c>
      <c r="V6" s="161" t="s">
        <v>119</v>
      </c>
      <c r="W6" s="161" t="s">
        <v>120</v>
      </c>
      <c r="X6" s="151"/>
    </row>
    <row r="7" spans="2:24" ht="18" customHeight="1" x14ac:dyDescent="0.15">
      <c r="B7" s="86" t="str">
        <f>IF(基本事項!D23=9,"*","")</f>
        <v>*</v>
      </c>
      <c r="C7" s="81" t="str">
        <f>IF(基本事項!D22=1,"般",IF(基本事項!D22=2,"特",""))</f>
        <v>特</v>
      </c>
      <c r="D7" s="401" t="s">
        <v>48</v>
      </c>
      <c r="E7" s="451"/>
      <c r="F7" s="452"/>
      <c r="G7" s="95">
        <v>255630</v>
      </c>
      <c r="H7" s="95">
        <v>180500</v>
      </c>
      <c r="I7" s="95">
        <v>144300</v>
      </c>
      <c r="J7" s="79">
        <f>IF(B7="","",ROUND((G7+H7)/2,0))</f>
        <v>218065</v>
      </c>
      <c r="K7" s="79">
        <f>IF(B7="","",ROUND((TRUNC((H7+I7)/2)*2+G7)/3,0))</f>
        <v>193477</v>
      </c>
      <c r="L7" s="302">
        <f>IF(その他!$F$5=1,J7,K7)</f>
        <v>193477</v>
      </c>
      <c r="M7" s="303">
        <f>IF(B7="","",IF(基本事項!$AM$8=1,Z2最低点,IF(その他!$F$5=1,元請完成工事高Z2!G7,元請完成工事高Z2!Q7)))</f>
        <v>241</v>
      </c>
      <c r="N7" s="33"/>
      <c r="O7" s="180">
        <f>完成工事高!G7-G7</f>
        <v>40000</v>
      </c>
      <c r="P7" s="180">
        <f>完成工事高!H7-H7</f>
        <v>30070</v>
      </c>
      <c r="Q7" s="180">
        <f>完成工事高!I7-I7</f>
        <v>11830</v>
      </c>
      <c r="R7" s="181"/>
      <c r="S7" s="153"/>
      <c r="T7" s="162" t="s">
        <v>48</v>
      </c>
      <c r="U7" s="157">
        <f>'経営状況・自己資本額、平均利益額'!W6</f>
        <v>414</v>
      </c>
      <c r="V7" s="157">
        <f>'経営状況・自己資本額、平均利益額'!X6</f>
        <v>801</v>
      </c>
      <c r="W7" s="157">
        <f>'経営状況・自己資本額、平均利益額'!Y6</f>
        <v>456</v>
      </c>
      <c r="X7" s="153"/>
    </row>
    <row r="8" spans="2:24" ht="18" customHeight="1" x14ac:dyDescent="0.15">
      <c r="B8" s="87"/>
      <c r="C8" s="83"/>
      <c r="D8" s="128"/>
      <c r="E8" s="449" t="s">
        <v>24</v>
      </c>
      <c r="F8" s="450"/>
      <c r="G8" s="95">
        <v>0</v>
      </c>
      <c r="H8" s="95">
        <v>0</v>
      </c>
      <c r="I8" s="95">
        <v>0</v>
      </c>
      <c r="J8" s="79">
        <f>IF(B7="","",ROUND((G8+H8)/2,0))</f>
        <v>0</v>
      </c>
      <c r="K8" s="79">
        <f>IF(B7="","",ROUND((TRUNC((H8+I8)/2)*2+G8)/3,0))</f>
        <v>0</v>
      </c>
      <c r="L8" s="302">
        <f>IF(その他!$F$5=1,J8,K8)</f>
        <v>0</v>
      </c>
      <c r="M8" s="303">
        <f>IF(B7="","",IF(基本事項!$AM$8=1,Z2最低点,IF(その他!$F$5=1,元請完成工事高Z2!G8,元請完成工事高Z2!Q8)))</f>
        <v>241</v>
      </c>
      <c r="N8" s="33"/>
      <c r="O8" s="180">
        <f>完成工事高!G8-G8</f>
        <v>0</v>
      </c>
      <c r="P8" s="180">
        <f>完成工事高!H8-H8</f>
        <v>0</v>
      </c>
      <c r="Q8" s="180">
        <f>完成工事高!I8-I8</f>
        <v>0</v>
      </c>
      <c r="R8" s="181"/>
      <c r="S8" s="153"/>
      <c r="T8" s="162" t="s">
        <v>125</v>
      </c>
      <c r="U8" s="157">
        <f>'経営状況・自己資本額、平均利益額'!W7</f>
        <v>313</v>
      </c>
      <c r="V8" s="157">
        <f>'経営状況・自己資本額、平均利益額'!X7</f>
        <v>397</v>
      </c>
      <c r="W8" s="157">
        <f>'経営状況・自己資本額、平均利益額'!Y7</f>
        <v>456</v>
      </c>
      <c r="X8" s="153"/>
    </row>
    <row r="9" spans="2:24" ht="18" customHeight="1" x14ac:dyDescent="0.15">
      <c r="B9" s="89" t="str">
        <f>IF(基本事項!E23=9,"*","")</f>
        <v>*</v>
      </c>
      <c r="C9" s="85" t="str">
        <f>IF(基本事項!E22=1,"般",IF(基本事項!E22=2,"特",""))</f>
        <v>般</v>
      </c>
      <c r="D9" s="397" t="s">
        <v>53</v>
      </c>
      <c r="E9" s="444"/>
      <c r="F9" s="445"/>
      <c r="G9" s="95">
        <v>0</v>
      </c>
      <c r="H9" s="95">
        <v>0</v>
      </c>
      <c r="I9" s="95">
        <v>0</v>
      </c>
      <c r="J9" s="79">
        <f>IF(B9="","",ROUND((G9+H9)/2,0))</f>
        <v>0</v>
      </c>
      <c r="K9" s="79">
        <f>IF(B9="","",ROUND((TRUNC((H9+I9)/2)*2+G9)/3,0))</f>
        <v>0</v>
      </c>
      <c r="L9" s="302">
        <f>IF(その他!$F$5=1,J9,K9)</f>
        <v>0</v>
      </c>
      <c r="M9" s="303">
        <f>IF(B9="","",IF(基本事項!$AM$8=1,Z2最低点,IF(その他!$F$5=1,元請完成工事高Z2!G9,元請完成工事高Z2!Q9)))</f>
        <v>241</v>
      </c>
      <c r="N9" s="33"/>
      <c r="O9" s="180">
        <f>完成工事高!G9-G9</f>
        <v>0</v>
      </c>
      <c r="P9" s="180">
        <f>完成工事高!H9-H9</f>
        <v>0</v>
      </c>
      <c r="Q9" s="180">
        <f>完成工事高!I9-I9</f>
        <v>0</v>
      </c>
      <c r="R9" s="181"/>
      <c r="S9" s="153"/>
      <c r="T9" s="162" t="s">
        <v>53</v>
      </c>
      <c r="U9" s="157">
        <f>'経営状況・自己資本額、平均利益額'!W8</f>
        <v>313</v>
      </c>
      <c r="V9" s="157">
        <f>'経営状況・自己資本額、平均利益額'!X8</f>
        <v>397</v>
      </c>
      <c r="W9" s="157">
        <f>'経営状況・自己資本額、平均利益額'!Y8</f>
        <v>456</v>
      </c>
      <c r="X9" s="153"/>
    </row>
    <row r="10" spans="2:24" ht="18" customHeight="1" x14ac:dyDescent="0.15">
      <c r="B10" s="89" t="str">
        <f>IF(基本事項!F23=9,"*","")</f>
        <v/>
      </c>
      <c r="C10" s="85" t="str">
        <f>IF(基本事項!F22=1,"般",IF(基本事項!F22=2,"特",""))</f>
        <v/>
      </c>
      <c r="D10" s="397" t="s">
        <v>54</v>
      </c>
      <c r="E10" s="444"/>
      <c r="F10" s="445"/>
      <c r="G10" s="95"/>
      <c r="H10" s="95"/>
      <c r="I10" s="95"/>
      <c r="J10" s="79" t="str">
        <f>IF(B10="","",ROUND((G10+H10)/2,0))</f>
        <v/>
      </c>
      <c r="K10" s="79" t="str">
        <f>IF(B10="","",ROUND((TRUNC((H10+I10)/2)*2+G10)/3,0))</f>
        <v/>
      </c>
      <c r="L10" s="302" t="str">
        <f>IF(その他!$F$5=1,J10,K10)</f>
        <v/>
      </c>
      <c r="M10" s="303" t="str">
        <f>IF(B10="","",IF(基本事項!$AM$8=1,Z2最低点,IF(その他!$F$5=1,元請完成工事高Z2!G10,元請完成工事高Z2!Q10)))</f>
        <v/>
      </c>
      <c r="N10" s="33"/>
      <c r="O10" s="180">
        <f>完成工事高!G10-G10</f>
        <v>0</v>
      </c>
      <c r="P10" s="180">
        <f>完成工事高!H10-H10</f>
        <v>0</v>
      </c>
      <c r="Q10" s="180">
        <f>完成工事高!I10-I10</f>
        <v>0</v>
      </c>
      <c r="R10" s="181"/>
      <c r="S10" s="153"/>
      <c r="T10" s="162" t="s">
        <v>54</v>
      </c>
      <c r="U10" s="157" t="str">
        <f>'経営状況・自己資本額、平均利益額'!W9</f>
        <v/>
      </c>
      <c r="V10" s="157" t="str">
        <f>'経営状況・自己資本額、平均利益額'!X9</f>
        <v/>
      </c>
      <c r="W10" s="157" t="str">
        <f>'経営状況・自己資本額、平均利益額'!Y9</f>
        <v/>
      </c>
      <c r="X10" s="153"/>
    </row>
    <row r="11" spans="2:24" ht="18" customHeight="1" x14ac:dyDescent="0.15">
      <c r="B11" s="89" t="str">
        <f>IF(基本事項!G23=9,"*","")</f>
        <v/>
      </c>
      <c r="C11" s="85" t="str">
        <f>IF(基本事項!G22=1,"般",IF(基本事項!G22=2,"特",""))</f>
        <v/>
      </c>
      <c r="D11" s="397" t="s">
        <v>56</v>
      </c>
      <c r="E11" s="444"/>
      <c r="F11" s="445"/>
      <c r="G11" s="95"/>
      <c r="H11" s="95"/>
      <c r="I11" s="95"/>
      <c r="J11" s="79" t="str">
        <f>IF(B11="","",ROUND((G11+H11)/2,0))</f>
        <v/>
      </c>
      <c r="K11" s="79" t="str">
        <f>IF(B11="","",ROUND((TRUNC((H11+I11)/2)*2+G11)/3,0))</f>
        <v/>
      </c>
      <c r="L11" s="302" t="str">
        <f>IF(その他!$F$5=1,J11,K11)</f>
        <v/>
      </c>
      <c r="M11" s="303" t="str">
        <f>IF(B11="","",IF(基本事項!$AM$8=1,Z2最低点,IF(その他!$F$5=1,元請完成工事高Z2!G11,元請完成工事高Z2!Q11)))</f>
        <v/>
      </c>
      <c r="N11" s="33"/>
      <c r="O11" s="180">
        <f>完成工事高!G11-G11</f>
        <v>0</v>
      </c>
      <c r="P11" s="180">
        <f>完成工事高!H11-H11</f>
        <v>0</v>
      </c>
      <c r="Q11" s="180">
        <f>完成工事高!I11-I11</f>
        <v>0</v>
      </c>
      <c r="R11" s="181"/>
      <c r="S11" s="153"/>
      <c r="T11" s="162" t="s">
        <v>56</v>
      </c>
      <c r="U11" s="157" t="str">
        <f>'経営状況・自己資本額、平均利益額'!W10</f>
        <v/>
      </c>
      <c r="V11" s="157" t="str">
        <f>'経営状況・自己資本額、平均利益額'!X10</f>
        <v/>
      </c>
      <c r="W11" s="157" t="str">
        <f>'経営状況・自己資本額、平均利益額'!Y10</f>
        <v/>
      </c>
      <c r="X11" s="153"/>
    </row>
    <row r="12" spans="2:24" ht="18" customHeight="1" x14ac:dyDescent="0.15">
      <c r="B12" s="88" t="str">
        <f>IF(基本事項!H23=9,"*","")</f>
        <v>*</v>
      </c>
      <c r="C12" s="82" t="str">
        <f>IF(基本事項!H22=1,"般",IF(基本事項!H22=2,"特",""))</f>
        <v>特</v>
      </c>
      <c r="D12" s="474" t="s">
        <v>58</v>
      </c>
      <c r="E12" s="451"/>
      <c r="F12" s="452"/>
      <c r="G12" s="95">
        <v>0</v>
      </c>
      <c r="H12" s="95">
        <v>0</v>
      </c>
      <c r="I12" s="95">
        <v>0</v>
      </c>
      <c r="J12" s="79">
        <f>IF(B12="","",ROUND((G12+H12)/2,0))</f>
        <v>0</v>
      </c>
      <c r="K12" s="79">
        <f>IF(B12="","",ROUND((TRUNC((H12+I12)/2)*2+G12)/3,0))</f>
        <v>0</v>
      </c>
      <c r="L12" s="302">
        <f>IF(その他!$F$5=1,J12,K12)</f>
        <v>0</v>
      </c>
      <c r="M12" s="303">
        <f>IF(B12="","",IF(基本事項!$AM$8=1,Z2最低点,IF(その他!$F$5=1,元請完成工事高Z2!G12,元請完成工事高Z2!Q12)))</f>
        <v>241</v>
      </c>
      <c r="N12" s="33"/>
      <c r="O12" s="180">
        <f>完成工事高!G12-G12</f>
        <v>120</v>
      </c>
      <c r="P12" s="180">
        <f>完成工事高!H12-H12</f>
        <v>500</v>
      </c>
      <c r="Q12" s="180">
        <f>完成工事高!I12-I12</f>
        <v>100</v>
      </c>
      <c r="R12" s="181"/>
      <c r="S12" s="153"/>
      <c r="T12" s="162" t="s">
        <v>58</v>
      </c>
      <c r="U12" s="157">
        <f>'経営状況・自己資本額、平均利益額'!W11</f>
        <v>314</v>
      </c>
      <c r="V12" s="157">
        <f>'経営状況・自己資本額、平均利益額'!X11</f>
        <v>400</v>
      </c>
      <c r="W12" s="157">
        <f>'経営状況・自己資本額、平均利益額'!Y11</f>
        <v>456</v>
      </c>
      <c r="X12" s="153"/>
    </row>
    <row r="13" spans="2:24" ht="18" customHeight="1" x14ac:dyDescent="0.15">
      <c r="B13" s="88"/>
      <c r="C13" s="82"/>
      <c r="D13" s="128"/>
      <c r="E13" s="449" t="s">
        <v>59</v>
      </c>
      <c r="F13" s="450"/>
      <c r="G13" s="95">
        <v>0</v>
      </c>
      <c r="H13" s="95">
        <v>0</v>
      </c>
      <c r="I13" s="95">
        <v>0</v>
      </c>
      <c r="J13" s="79">
        <f>IF(B12="","",ROUND((G13+H13)/2,0))</f>
        <v>0</v>
      </c>
      <c r="K13" s="79">
        <f>IF(B12="","",ROUND((TRUNC((H13+I13)/2)*2+G13)/3,0))</f>
        <v>0</v>
      </c>
      <c r="L13" s="302">
        <f>IF(その他!$F$5=1,J13,K13)</f>
        <v>0</v>
      </c>
      <c r="M13" s="303">
        <f>IF(B12="","",IF(基本事項!$AM$8=1,Z2最低点,IF(その他!$F$5=1,元請完成工事高Z2!G13,元請完成工事高Z2!Q13)))</f>
        <v>241</v>
      </c>
      <c r="N13" s="33"/>
      <c r="O13" s="180">
        <f>完成工事高!G13-G13</f>
        <v>0</v>
      </c>
      <c r="P13" s="180">
        <f>完成工事高!H13-H13</f>
        <v>0</v>
      </c>
      <c r="Q13" s="180">
        <f>完成工事高!I13-I13</f>
        <v>0</v>
      </c>
      <c r="R13" s="181"/>
      <c r="S13" s="153"/>
      <c r="T13" s="162" t="s">
        <v>59</v>
      </c>
      <c r="U13" s="157">
        <f>'経営状況・自己資本額、平均利益額'!W12</f>
        <v>313</v>
      </c>
      <c r="V13" s="157">
        <f>'経営状況・自己資本額、平均利益額'!X12</f>
        <v>397</v>
      </c>
      <c r="W13" s="157">
        <f>'経営状況・自己資本額、平均利益額'!Y12</f>
        <v>456</v>
      </c>
      <c r="X13" s="153"/>
    </row>
    <row r="14" spans="2:24" ht="18" customHeight="1" x14ac:dyDescent="0.15">
      <c r="B14" s="89" t="str">
        <f>IF(基本事項!I23=9,"*","")</f>
        <v/>
      </c>
      <c r="C14" s="85" t="str">
        <f>IF(基本事項!I22=1,"般",IF(基本事項!I22=2,"特",""))</f>
        <v/>
      </c>
      <c r="D14" s="397" t="s">
        <v>61</v>
      </c>
      <c r="E14" s="444"/>
      <c r="F14" s="445"/>
      <c r="G14" s="95"/>
      <c r="H14" s="95"/>
      <c r="I14" s="95"/>
      <c r="J14" s="79" t="str">
        <f t="shared" ref="J14:J19" si="0">IF(B14="","",ROUND((G14+H14)/2,0))</f>
        <v/>
      </c>
      <c r="K14" s="79" t="str">
        <f t="shared" ref="K14:K19" si="1">IF(B14="","",ROUND((TRUNC((H14+I14)/2)*2+G14)/3,0))</f>
        <v/>
      </c>
      <c r="L14" s="302" t="str">
        <f>IF(その他!$F$5=1,J14,K14)</f>
        <v/>
      </c>
      <c r="M14" s="303" t="str">
        <f>IF(B14="","",IF(基本事項!$AM$8=1,Z2最低点,IF(その他!$F$5=1,元請完成工事高Z2!G14,元請完成工事高Z2!Q14)))</f>
        <v/>
      </c>
      <c r="N14" s="33"/>
      <c r="O14" s="180">
        <f>完成工事高!G14-G14</f>
        <v>0</v>
      </c>
      <c r="P14" s="180">
        <f>完成工事高!H14-H14</f>
        <v>0</v>
      </c>
      <c r="Q14" s="180">
        <f>完成工事高!I14-I14</f>
        <v>0</v>
      </c>
      <c r="R14" s="181"/>
      <c r="S14" s="153"/>
      <c r="T14" s="162" t="s">
        <v>61</v>
      </c>
      <c r="U14" s="157" t="str">
        <f>'経営状況・自己資本額、平均利益額'!W13</f>
        <v/>
      </c>
      <c r="V14" s="157" t="str">
        <f>'経営状況・自己資本額、平均利益額'!X13</f>
        <v/>
      </c>
      <c r="W14" s="157" t="str">
        <f>'経営状況・自己資本額、平均利益額'!Y13</f>
        <v/>
      </c>
      <c r="X14" s="153"/>
    </row>
    <row r="15" spans="2:24" ht="18" customHeight="1" x14ac:dyDescent="0.15">
      <c r="B15" s="89" t="str">
        <f>IF(基本事項!J23=9,"*","")</f>
        <v/>
      </c>
      <c r="C15" s="85" t="str">
        <f>IF(基本事項!J22=1,"般",IF(基本事項!J22=2,"特",""))</f>
        <v/>
      </c>
      <c r="D15" s="397" t="s">
        <v>62</v>
      </c>
      <c r="E15" s="444"/>
      <c r="F15" s="445"/>
      <c r="G15" s="95"/>
      <c r="H15" s="95"/>
      <c r="I15" s="95"/>
      <c r="J15" s="79" t="str">
        <f t="shared" si="0"/>
        <v/>
      </c>
      <c r="K15" s="79" t="str">
        <f t="shared" si="1"/>
        <v/>
      </c>
      <c r="L15" s="302" t="str">
        <f>IF(その他!$F$5=1,J15,K15)</f>
        <v/>
      </c>
      <c r="M15" s="303" t="str">
        <f>IF(B15="","",IF(基本事項!$AM$8=1,Z2最低点,IF(その他!$F$5=1,元請完成工事高Z2!G15,元請完成工事高Z2!Q15)))</f>
        <v/>
      </c>
      <c r="N15" s="33"/>
      <c r="O15" s="180">
        <f>完成工事高!G15-G15</f>
        <v>0</v>
      </c>
      <c r="P15" s="180">
        <f>完成工事高!H15-H15</f>
        <v>0</v>
      </c>
      <c r="Q15" s="180">
        <f>完成工事高!I15-I15</f>
        <v>0</v>
      </c>
      <c r="R15" s="181"/>
      <c r="S15" s="153"/>
      <c r="T15" s="162" t="s">
        <v>62</v>
      </c>
      <c r="U15" s="157" t="str">
        <f>'経営状況・自己資本額、平均利益額'!W14</f>
        <v/>
      </c>
      <c r="V15" s="157" t="str">
        <f>'経営状況・自己資本額、平均利益額'!X14</f>
        <v/>
      </c>
      <c r="W15" s="157" t="str">
        <f>'経営状況・自己資本額、平均利益額'!Y14</f>
        <v/>
      </c>
      <c r="X15" s="153"/>
    </row>
    <row r="16" spans="2:24" ht="18" customHeight="1" x14ac:dyDescent="0.15">
      <c r="B16" s="89" t="str">
        <f>IF(基本事項!K23=9,"*","")</f>
        <v/>
      </c>
      <c r="C16" s="85" t="str">
        <f>IF(基本事項!K22=1,"般",IF(基本事項!K22=2,"特",""))</f>
        <v/>
      </c>
      <c r="D16" s="397" t="s">
        <v>64</v>
      </c>
      <c r="E16" s="444"/>
      <c r="F16" s="445"/>
      <c r="G16" s="95"/>
      <c r="H16" s="95"/>
      <c r="I16" s="95"/>
      <c r="J16" s="79" t="str">
        <f t="shared" si="0"/>
        <v/>
      </c>
      <c r="K16" s="79" t="str">
        <f t="shared" si="1"/>
        <v/>
      </c>
      <c r="L16" s="302" t="str">
        <f>IF(その他!$F$5=1,J16,K16)</f>
        <v/>
      </c>
      <c r="M16" s="303" t="str">
        <f>IF(B16="","",IF(基本事項!$AM$8=1,Z2最低点,IF(その他!$F$5=1,元請完成工事高Z2!G16,元請完成工事高Z2!Q16)))</f>
        <v/>
      </c>
      <c r="N16" s="33"/>
      <c r="O16" s="180">
        <f>完成工事高!G16-G16</f>
        <v>0</v>
      </c>
      <c r="P16" s="180">
        <f>完成工事高!H16-H16</f>
        <v>0</v>
      </c>
      <c r="Q16" s="180">
        <f>完成工事高!I16-I16</f>
        <v>0</v>
      </c>
      <c r="R16" s="181"/>
      <c r="S16" s="153"/>
      <c r="T16" s="162" t="s">
        <v>64</v>
      </c>
      <c r="U16" s="157" t="str">
        <f>'経営状況・自己資本額、平均利益額'!W15</f>
        <v/>
      </c>
      <c r="V16" s="157" t="str">
        <f>'経営状況・自己資本額、平均利益額'!X15</f>
        <v/>
      </c>
      <c r="W16" s="157" t="str">
        <f>'経営状況・自己資本額、平均利益額'!Y15</f>
        <v/>
      </c>
      <c r="X16" s="153"/>
    </row>
    <row r="17" spans="2:24" ht="18" customHeight="1" x14ac:dyDescent="0.15">
      <c r="B17" s="89" t="str">
        <f>IF(基本事項!L23=9,"*","")</f>
        <v/>
      </c>
      <c r="C17" s="85" t="str">
        <f>IF(基本事項!L22=1,"般",IF(基本事項!L22=2,"特",""))</f>
        <v/>
      </c>
      <c r="D17" s="397" t="s">
        <v>65</v>
      </c>
      <c r="E17" s="444"/>
      <c r="F17" s="445"/>
      <c r="G17" s="95"/>
      <c r="H17" s="95"/>
      <c r="I17" s="95"/>
      <c r="J17" s="79" t="str">
        <f t="shared" si="0"/>
        <v/>
      </c>
      <c r="K17" s="79" t="str">
        <f t="shared" si="1"/>
        <v/>
      </c>
      <c r="L17" s="302" t="str">
        <f>IF(その他!$F$5=1,J17,K17)</f>
        <v/>
      </c>
      <c r="M17" s="303" t="str">
        <f>IF(B17="","",IF(基本事項!$AM$8=1,Z2最低点,IF(その他!$F$5=1,元請完成工事高Z2!G17,元請完成工事高Z2!Q17)))</f>
        <v/>
      </c>
      <c r="N17" s="33"/>
      <c r="O17" s="180">
        <f>完成工事高!G17-G17</f>
        <v>0</v>
      </c>
      <c r="P17" s="180">
        <f>完成工事高!H17-H17</f>
        <v>0</v>
      </c>
      <c r="Q17" s="180">
        <f>完成工事高!I17-I17</f>
        <v>0</v>
      </c>
      <c r="R17" s="181"/>
      <c r="S17" s="153"/>
      <c r="T17" s="162" t="s">
        <v>65</v>
      </c>
      <c r="U17" s="157" t="str">
        <f>'経営状況・自己資本額、平均利益額'!W16</f>
        <v/>
      </c>
      <c r="V17" s="157" t="str">
        <f>'経営状況・自己資本額、平均利益額'!X16</f>
        <v/>
      </c>
      <c r="W17" s="157" t="str">
        <f>'経営状況・自己資本額、平均利益額'!Y16</f>
        <v/>
      </c>
      <c r="X17" s="153"/>
    </row>
    <row r="18" spans="2:24" ht="18" customHeight="1" x14ac:dyDescent="0.15">
      <c r="B18" s="89" t="str">
        <f>IF(基本事項!M23=9,"*","")</f>
        <v/>
      </c>
      <c r="C18" s="85" t="str">
        <f>IF(基本事項!M22=1,"般",IF(基本事項!M22=2,"特",""))</f>
        <v/>
      </c>
      <c r="D18" s="475" t="s">
        <v>23</v>
      </c>
      <c r="E18" s="444"/>
      <c r="F18" s="445"/>
      <c r="G18" s="95"/>
      <c r="H18" s="95"/>
      <c r="I18" s="95"/>
      <c r="J18" s="79" t="str">
        <f t="shared" si="0"/>
        <v/>
      </c>
      <c r="K18" s="79" t="str">
        <f t="shared" si="1"/>
        <v/>
      </c>
      <c r="L18" s="302" t="str">
        <f>IF(その他!$F$5=1,J18,K18)</f>
        <v/>
      </c>
      <c r="M18" s="303" t="str">
        <f>IF(B18="","",IF(基本事項!$AM$8=1,Z2最低点,IF(その他!$F$5=1,元請完成工事高Z2!G18,元請完成工事高Z2!Q18)))</f>
        <v/>
      </c>
      <c r="N18" s="33"/>
      <c r="O18" s="180">
        <f>完成工事高!G18-G18</f>
        <v>0</v>
      </c>
      <c r="P18" s="180">
        <f>完成工事高!H18-H18</f>
        <v>0</v>
      </c>
      <c r="Q18" s="180">
        <f>完成工事高!I18-I18</f>
        <v>0</v>
      </c>
      <c r="R18" s="181"/>
      <c r="S18" s="153"/>
      <c r="T18" s="162" t="s">
        <v>396</v>
      </c>
      <c r="U18" s="157" t="str">
        <f>'経営状況・自己資本額、平均利益額'!W17</f>
        <v/>
      </c>
      <c r="V18" s="157" t="str">
        <f>'経営状況・自己資本額、平均利益額'!X17</f>
        <v/>
      </c>
      <c r="W18" s="157" t="str">
        <f>'経営状況・自己資本額、平均利益額'!Y17</f>
        <v/>
      </c>
      <c r="X18" s="153"/>
    </row>
    <row r="19" spans="2:24" ht="18" customHeight="1" x14ac:dyDescent="0.15">
      <c r="B19" s="88" t="str">
        <f>IF(基本事項!N23=9,"*","")</f>
        <v/>
      </c>
      <c r="C19" s="82" t="str">
        <f>IF(基本事項!N22=1,"般",IF(基本事項!N22=2,"特",""))</f>
        <v/>
      </c>
      <c r="D19" s="401" t="s">
        <v>67</v>
      </c>
      <c r="E19" s="451"/>
      <c r="F19" s="452"/>
      <c r="G19" s="95"/>
      <c r="H19" s="95"/>
      <c r="I19" s="95"/>
      <c r="J19" s="79" t="str">
        <f t="shared" si="0"/>
        <v/>
      </c>
      <c r="K19" s="79" t="str">
        <f t="shared" si="1"/>
        <v/>
      </c>
      <c r="L19" s="302" t="str">
        <f>IF(その他!$F$5=1,J19,K19)</f>
        <v/>
      </c>
      <c r="M19" s="303" t="str">
        <f>IF(B19="","",IF(基本事項!$AM$8=1,Z2最低点,IF(その他!$F$5=1,元請完成工事高Z2!G19,元請完成工事高Z2!Q19)))</f>
        <v/>
      </c>
      <c r="N19" s="33"/>
      <c r="O19" s="180">
        <f>完成工事高!G19-G19</f>
        <v>0</v>
      </c>
      <c r="P19" s="180">
        <f>完成工事高!H19-H19</f>
        <v>0</v>
      </c>
      <c r="Q19" s="180">
        <f>完成工事高!I19-I19</f>
        <v>0</v>
      </c>
      <c r="R19" s="181"/>
      <c r="S19" s="153"/>
      <c r="T19" s="162" t="s">
        <v>67</v>
      </c>
      <c r="U19" s="157" t="str">
        <f>'経営状況・自己資本額、平均利益額'!W18</f>
        <v/>
      </c>
      <c r="V19" s="157" t="str">
        <f>'経営状況・自己資本額、平均利益額'!X18</f>
        <v/>
      </c>
      <c r="W19" s="157" t="str">
        <f>'経営状況・自己資本額、平均利益額'!Y18</f>
        <v/>
      </c>
      <c r="X19" s="153"/>
    </row>
    <row r="20" spans="2:24" ht="18" customHeight="1" x14ac:dyDescent="0.15">
      <c r="B20" s="88"/>
      <c r="C20" s="82"/>
      <c r="D20" s="129"/>
      <c r="E20" s="449" t="s">
        <v>70</v>
      </c>
      <c r="F20" s="450"/>
      <c r="G20" s="95"/>
      <c r="H20" s="95"/>
      <c r="I20" s="95"/>
      <c r="J20" s="79" t="str">
        <f>IF(B19="","",ROUND((G20+H20)/2,0))</f>
        <v/>
      </c>
      <c r="K20" s="79" t="str">
        <f>IF(B19="","",ROUND((TRUNC((H20+I20)/2)*2+G20)/3,0))</f>
        <v/>
      </c>
      <c r="L20" s="302" t="str">
        <f>IF(その他!$F$5=1,J20,K20)</f>
        <v/>
      </c>
      <c r="M20" s="303" t="str">
        <f>IF(B19="","",IF(基本事項!$AM$8=1,Z2最低点,IF(その他!$F$5=1,元請完成工事高Z2!G20,元請完成工事高Z2!Q20)))</f>
        <v/>
      </c>
      <c r="N20" s="33"/>
      <c r="O20" s="180">
        <f>完成工事高!G20-G20</f>
        <v>0</v>
      </c>
      <c r="P20" s="180">
        <f>完成工事高!H20-H20</f>
        <v>0</v>
      </c>
      <c r="Q20" s="180">
        <f>完成工事高!I20-I20</f>
        <v>0</v>
      </c>
      <c r="R20" s="181"/>
      <c r="S20" s="153"/>
      <c r="T20" s="162" t="s">
        <v>70</v>
      </c>
      <c r="U20" s="157" t="str">
        <f>'経営状況・自己資本額、平均利益額'!W19</f>
        <v/>
      </c>
      <c r="V20" s="157" t="str">
        <f>'経営状況・自己資本額、平均利益額'!X19</f>
        <v/>
      </c>
      <c r="W20" s="157" t="str">
        <f>'経営状況・自己資本額、平均利益額'!Y19</f>
        <v/>
      </c>
      <c r="X20" s="153"/>
    </row>
    <row r="21" spans="2:24" ht="18" customHeight="1" x14ac:dyDescent="0.15">
      <c r="B21" s="89" t="str">
        <f>IF(基本事項!O23=9,"*","")</f>
        <v/>
      </c>
      <c r="C21" s="85" t="str">
        <f>IF(基本事項!O22=1,"般",IF(基本事項!O22=2,"特",""))</f>
        <v/>
      </c>
      <c r="D21" s="397" t="s">
        <v>71</v>
      </c>
      <c r="E21" s="444"/>
      <c r="F21" s="445"/>
      <c r="G21" s="95"/>
      <c r="H21" s="95"/>
      <c r="I21" s="95"/>
      <c r="J21" s="79" t="str">
        <f t="shared" ref="J21:J38" si="2">IF(B21="","",ROUND((G21+H21)/2,0))</f>
        <v/>
      </c>
      <c r="K21" s="79" t="str">
        <f t="shared" ref="K21:K38" si="3">IF(B21="","",ROUND((TRUNC((H21+I21)/2)*2+G21)/3,0))</f>
        <v/>
      </c>
      <c r="L21" s="302" t="str">
        <f>IF(その他!$F$5=1,J21,K21)</f>
        <v/>
      </c>
      <c r="M21" s="303" t="str">
        <f>IF(B21="","",IF(基本事項!$AM$8=1,Z2最低点,IF(その他!$F$5=1,元請完成工事高Z2!G21,元請完成工事高Z2!Q21)))</f>
        <v/>
      </c>
      <c r="N21" s="33"/>
      <c r="O21" s="180">
        <f>完成工事高!G21-G21</f>
        <v>0</v>
      </c>
      <c r="P21" s="180">
        <f>完成工事高!H21-H21</f>
        <v>0</v>
      </c>
      <c r="Q21" s="180">
        <f>完成工事高!I21-I21</f>
        <v>0</v>
      </c>
      <c r="R21" s="181"/>
      <c r="S21" s="153"/>
      <c r="T21" s="162" t="s">
        <v>71</v>
      </c>
      <c r="U21" s="157" t="str">
        <f>'経営状況・自己資本額、平均利益額'!W20</f>
        <v/>
      </c>
      <c r="V21" s="157" t="str">
        <f>'経営状況・自己資本額、平均利益額'!X20</f>
        <v/>
      </c>
      <c r="W21" s="157" t="str">
        <f>'経営状況・自己資本額、平均利益額'!Y20</f>
        <v/>
      </c>
      <c r="X21" s="153"/>
    </row>
    <row r="22" spans="2:24" ht="18" customHeight="1" x14ac:dyDescent="0.15">
      <c r="B22" s="89" t="str">
        <f>IF(基本事項!P23=9,"*","")</f>
        <v/>
      </c>
      <c r="C22" s="85" t="str">
        <f>IF(基本事項!P22=1,"般",IF(基本事項!P22=2,"特",""))</f>
        <v/>
      </c>
      <c r="D22" s="397" t="s">
        <v>549</v>
      </c>
      <c r="E22" s="444"/>
      <c r="F22" s="445"/>
      <c r="G22" s="95"/>
      <c r="H22" s="95"/>
      <c r="I22" s="95"/>
      <c r="J22" s="79" t="str">
        <f t="shared" si="2"/>
        <v/>
      </c>
      <c r="K22" s="79" t="str">
        <f t="shared" si="3"/>
        <v/>
      </c>
      <c r="L22" s="302" t="str">
        <f>IF(その他!$F$5=1,J22,K22)</f>
        <v/>
      </c>
      <c r="M22" s="303" t="str">
        <f>IF(B22="","",IF(基本事項!$AM$8=1,Z2最低点,IF(その他!$F$5=1,元請完成工事高Z2!G22,元請完成工事高Z2!Q22)))</f>
        <v/>
      </c>
      <c r="N22" s="33"/>
      <c r="O22" s="180">
        <f>完成工事高!G22-G22</f>
        <v>0</v>
      </c>
      <c r="P22" s="180">
        <f>完成工事高!H22-H22</f>
        <v>0</v>
      </c>
      <c r="Q22" s="180">
        <f>完成工事高!I22-I22</f>
        <v>0</v>
      </c>
      <c r="R22" s="181"/>
      <c r="S22" s="153"/>
      <c r="T22" s="144" t="s">
        <v>549</v>
      </c>
      <c r="U22" s="157" t="str">
        <f>'経営状況・自己資本額、平均利益額'!W21</f>
        <v/>
      </c>
      <c r="V22" s="157" t="str">
        <f>'経営状況・自己資本額、平均利益額'!X21</f>
        <v/>
      </c>
      <c r="W22" s="157" t="str">
        <f>'経営状況・自己資本額、平均利益額'!Y21</f>
        <v/>
      </c>
      <c r="X22" s="153"/>
    </row>
    <row r="23" spans="2:24" ht="18" customHeight="1" x14ac:dyDescent="0.15">
      <c r="B23" s="89" t="str">
        <f>IF(基本事項!Q23=9,"*","")</f>
        <v/>
      </c>
      <c r="C23" s="85" t="str">
        <f>IF(基本事項!Q22=1,"般",IF(基本事項!Q22=2,"特",""))</f>
        <v/>
      </c>
      <c r="D23" s="397" t="s">
        <v>26</v>
      </c>
      <c r="E23" s="444"/>
      <c r="F23" s="445"/>
      <c r="G23" s="95"/>
      <c r="H23" s="95"/>
      <c r="I23" s="95"/>
      <c r="J23" s="79" t="str">
        <f t="shared" si="2"/>
        <v/>
      </c>
      <c r="K23" s="79" t="str">
        <f t="shared" si="3"/>
        <v/>
      </c>
      <c r="L23" s="302" t="str">
        <f>IF(その他!$F$5=1,J23,K23)</f>
        <v/>
      </c>
      <c r="M23" s="303" t="str">
        <f>IF(B23="","",IF(基本事項!$AM$8=1,Z2最低点,IF(その他!$F$5=1,元請完成工事高Z2!G23,元請完成工事高Z2!Q23)))</f>
        <v/>
      </c>
      <c r="N23" s="33"/>
      <c r="O23" s="180">
        <f>完成工事高!G23-G23</f>
        <v>0</v>
      </c>
      <c r="P23" s="180">
        <f>完成工事高!H23-H23</f>
        <v>0</v>
      </c>
      <c r="Q23" s="180">
        <f>完成工事高!I23-I23</f>
        <v>0</v>
      </c>
      <c r="R23" s="181"/>
      <c r="S23" s="153"/>
      <c r="T23" s="162" t="s">
        <v>397</v>
      </c>
      <c r="U23" s="157" t="str">
        <f>'経営状況・自己資本額、平均利益額'!W22</f>
        <v/>
      </c>
      <c r="V23" s="157" t="str">
        <f>'経営状況・自己資本額、平均利益額'!X22</f>
        <v/>
      </c>
      <c r="W23" s="157" t="str">
        <f>'経営状況・自己資本額、平均利益額'!Y22</f>
        <v/>
      </c>
      <c r="X23" s="153"/>
    </row>
    <row r="24" spans="2:24" ht="18" customHeight="1" x14ac:dyDescent="0.15">
      <c r="B24" s="89" t="str">
        <f>IF(基本事項!R23=9,"*","")</f>
        <v/>
      </c>
      <c r="C24" s="85" t="str">
        <f>IF(基本事項!R22=1,"般",IF(基本事項!R22=2,"特",""))</f>
        <v/>
      </c>
      <c r="D24" s="397" t="s">
        <v>72</v>
      </c>
      <c r="E24" s="444"/>
      <c r="F24" s="445"/>
      <c r="G24" s="95"/>
      <c r="H24" s="95"/>
      <c r="I24" s="95"/>
      <c r="J24" s="79" t="str">
        <f t="shared" si="2"/>
        <v/>
      </c>
      <c r="K24" s="79" t="str">
        <f t="shared" si="3"/>
        <v/>
      </c>
      <c r="L24" s="302" t="str">
        <f>IF(その他!$F$5=1,J24,K24)</f>
        <v/>
      </c>
      <c r="M24" s="303" t="str">
        <f>IF(B24="","",IF(基本事項!$AM$8=1,Z2最低点,IF(その他!$F$5=1,元請完成工事高Z2!G24,元請完成工事高Z2!Q24)))</f>
        <v/>
      </c>
      <c r="N24" s="33"/>
      <c r="O24" s="180">
        <f>完成工事高!G24-G24</f>
        <v>0</v>
      </c>
      <c r="P24" s="180">
        <f>完成工事高!H24-H24</f>
        <v>0</v>
      </c>
      <c r="Q24" s="180">
        <f>完成工事高!I24-I24</f>
        <v>0</v>
      </c>
      <c r="R24" s="181"/>
      <c r="S24" s="153"/>
      <c r="T24" s="162" t="s">
        <v>72</v>
      </c>
      <c r="U24" s="157" t="str">
        <f>'経営状況・自己資本額、平均利益額'!W23</f>
        <v/>
      </c>
      <c r="V24" s="157" t="str">
        <f>'経営状況・自己資本額、平均利益額'!X23</f>
        <v/>
      </c>
      <c r="W24" s="157" t="str">
        <f>'経営状況・自己資本額、平均利益額'!Y23</f>
        <v/>
      </c>
      <c r="X24" s="153"/>
    </row>
    <row r="25" spans="2:24" ht="18" customHeight="1" x14ac:dyDescent="0.15">
      <c r="B25" s="89" t="str">
        <f>IF(基本事項!S23=9,"*","")</f>
        <v/>
      </c>
      <c r="C25" s="85" t="str">
        <f>IF(基本事項!S22=1,"般",IF(基本事項!S22=2,"特",""))</f>
        <v/>
      </c>
      <c r="D25" s="397" t="s">
        <v>25</v>
      </c>
      <c r="E25" s="444"/>
      <c r="F25" s="445"/>
      <c r="G25" s="95"/>
      <c r="H25" s="95"/>
      <c r="I25" s="95"/>
      <c r="J25" s="79" t="str">
        <f t="shared" si="2"/>
        <v/>
      </c>
      <c r="K25" s="79" t="str">
        <f t="shared" si="3"/>
        <v/>
      </c>
      <c r="L25" s="302" t="str">
        <f>IF(その他!$F$5=1,J25,K25)</f>
        <v/>
      </c>
      <c r="M25" s="303" t="str">
        <f>IF(B25="","",IF(基本事項!$AM$8=1,Z2最低点,IF(その他!$F$5=1,元請完成工事高Z2!G25,元請完成工事高Z2!Q25)))</f>
        <v/>
      </c>
      <c r="N25" s="33"/>
      <c r="O25" s="180">
        <f>完成工事高!G25-G25</f>
        <v>0</v>
      </c>
      <c r="P25" s="180">
        <f>完成工事高!H25-H25</f>
        <v>0</v>
      </c>
      <c r="Q25" s="180">
        <f>完成工事高!I25-I25</f>
        <v>0</v>
      </c>
      <c r="R25" s="181"/>
      <c r="S25" s="153"/>
      <c r="T25" s="162" t="s">
        <v>398</v>
      </c>
      <c r="U25" s="157" t="str">
        <f>'経営状況・自己資本額、平均利益額'!W24</f>
        <v/>
      </c>
      <c r="V25" s="157" t="str">
        <f>'経営状況・自己資本額、平均利益額'!X24</f>
        <v/>
      </c>
      <c r="W25" s="157" t="str">
        <f>'経営状況・自己資本額、平均利益額'!Y24</f>
        <v/>
      </c>
      <c r="X25" s="153"/>
    </row>
    <row r="26" spans="2:24" ht="18" customHeight="1" x14ac:dyDescent="0.15">
      <c r="B26" s="89" t="str">
        <f>IF(基本事項!T23=9,"*","")</f>
        <v/>
      </c>
      <c r="C26" s="85" t="str">
        <f>IF(基本事項!T22=1,"般",IF(基本事項!T22=2,"特",""))</f>
        <v/>
      </c>
      <c r="D26" s="397" t="s">
        <v>73</v>
      </c>
      <c r="E26" s="444"/>
      <c r="F26" s="445"/>
      <c r="G26" s="95"/>
      <c r="H26" s="95"/>
      <c r="I26" s="95"/>
      <c r="J26" s="79" t="str">
        <f t="shared" si="2"/>
        <v/>
      </c>
      <c r="K26" s="79" t="str">
        <f t="shared" si="3"/>
        <v/>
      </c>
      <c r="L26" s="302" t="str">
        <f>IF(その他!$F$5=1,J26,K26)</f>
        <v/>
      </c>
      <c r="M26" s="303" t="str">
        <f>IF(B26="","",IF(基本事項!$AM$8=1,Z2最低点,IF(その他!$F$5=1,元請完成工事高Z2!G26,元請完成工事高Z2!Q26)))</f>
        <v/>
      </c>
      <c r="N26" s="33"/>
      <c r="O26" s="180">
        <f>完成工事高!G26-G26</f>
        <v>0</v>
      </c>
      <c r="P26" s="180">
        <f>完成工事高!H26-H26</f>
        <v>0</v>
      </c>
      <c r="Q26" s="180">
        <f>完成工事高!I26-I26</f>
        <v>0</v>
      </c>
      <c r="R26" s="181"/>
      <c r="S26" s="153"/>
      <c r="T26" s="162" t="s">
        <v>73</v>
      </c>
      <c r="U26" s="157" t="str">
        <f>'経営状況・自己資本額、平均利益額'!W25</f>
        <v/>
      </c>
      <c r="V26" s="157" t="str">
        <f>'経営状況・自己資本額、平均利益額'!X25</f>
        <v/>
      </c>
      <c r="W26" s="157" t="str">
        <f>'経営状況・自己資本額、平均利益額'!Y25</f>
        <v/>
      </c>
      <c r="X26" s="153"/>
    </row>
    <row r="27" spans="2:24" ht="18" customHeight="1" x14ac:dyDescent="0.15">
      <c r="B27" s="89" t="str">
        <f>IF(基本事項!U23=9,"*","")</f>
        <v/>
      </c>
      <c r="C27" s="85" t="str">
        <f>IF(基本事項!U22=1,"般",IF(基本事項!U22=2,"特",""))</f>
        <v/>
      </c>
      <c r="D27" s="397" t="s">
        <v>76</v>
      </c>
      <c r="E27" s="444"/>
      <c r="F27" s="445"/>
      <c r="G27" s="95"/>
      <c r="H27" s="95"/>
      <c r="I27" s="95"/>
      <c r="J27" s="79" t="str">
        <f t="shared" si="2"/>
        <v/>
      </c>
      <c r="K27" s="79" t="str">
        <f t="shared" si="3"/>
        <v/>
      </c>
      <c r="L27" s="302" t="str">
        <f>IF(その他!$F$5=1,J27,K27)</f>
        <v/>
      </c>
      <c r="M27" s="303" t="str">
        <f>IF(B27="","",IF(基本事項!$AM$8=1,Z2最低点,IF(その他!$F$5=1,元請完成工事高Z2!G27,元請完成工事高Z2!Q27)))</f>
        <v/>
      </c>
      <c r="N27" s="33"/>
      <c r="O27" s="180">
        <f>完成工事高!G27-G27</f>
        <v>0</v>
      </c>
      <c r="P27" s="180">
        <f>完成工事高!H27-H27</f>
        <v>0</v>
      </c>
      <c r="Q27" s="180">
        <f>完成工事高!I27-I27</f>
        <v>0</v>
      </c>
      <c r="R27" s="181"/>
      <c r="S27" s="153"/>
      <c r="T27" s="162" t="s">
        <v>76</v>
      </c>
      <c r="U27" s="157" t="str">
        <f>'経営状況・自己資本額、平均利益額'!W26</f>
        <v/>
      </c>
      <c r="V27" s="157" t="str">
        <f>'経営状況・自己資本額、平均利益額'!X26</f>
        <v/>
      </c>
      <c r="W27" s="157" t="str">
        <f>'経営状況・自己資本額、平均利益額'!Y26</f>
        <v/>
      </c>
      <c r="X27" s="153"/>
    </row>
    <row r="28" spans="2:24" ht="18" customHeight="1" x14ac:dyDescent="0.15">
      <c r="B28" s="89" t="str">
        <f>IF(基本事項!V23=9,"*","")</f>
        <v/>
      </c>
      <c r="C28" s="85" t="str">
        <f>IF(基本事項!V22=1,"般",IF(基本事項!V22=2,"特",""))</f>
        <v/>
      </c>
      <c r="D28" s="397" t="s">
        <v>77</v>
      </c>
      <c r="E28" s="444"/>
      <c r="F28" s="445"/>
      <c r="G28" s="95"/>
      <c r="H28" s="95"/>
      <c r="I28" s="95"/>
      <c r="J28" s="79" t="str">
        <f t="shared" si="2"/>
        <v/>
      </c>
      <c r="K28" s="79" t="str">
        <f t="shared" si="3"/>
        <v/>
      </c>
      <c r="L28" s="302" t="str">
        <f>IF(その他!$F$5=1,J28,K28)</f>
        <v/>
      </c>
      <c r="M28" s="303" t="str">
        <f>IF(B28="","",IF(基本事項!$AM$8=1,Z2最低点,IF(その他!$F$5=1,元請完成工事高Z2!G28,元請完成工事高Z2!Q28)))</f>
        <v/>
      </c>
      <c r="N28" s="33"/>
      <c r="O28" s="180">
        <f>完成工事高!G28-G28</f>
        <v>0</v>
      </c>
      <c r="P28" s="180">
        <f>完成工事高!H28-H28</f>
        <v>0</v>
      </c>
      <c r="Q28" s="180">
        <f>完成工事高!I28-I28</f>
        <v>0</v>
      </c>
      <c r="R28" s="181"/>
      <c r="S28" s="153"/>
      <c r="T28" s="163" t="s">
        <v>77</v>
      </c>
      <c r="U28" s="157" t="str">
        <f>'経営状況・自己資本額、平均利益額'!W27</f>
        <v/>
      </c>
      <c r="V28" s="157" t="str">
        <f>'経営状況・自己資本額、平均利益額'!X27</f>
        <v/>
      </c>
      <c r="W28" s="157" t="str">
        <f>'経営状況・自己資本額、平均利益額'!Y27</f>
        <v/>
      </c>
      <c r="X28" s="153"/>
    </row>
    <row r="29" spans="2:24" ht="18" customHeight="1" x14ac:dyDescent="0.15">
      <c r="B29" s="89" t="str">
        <f>IF(基本事項!W23=9,"*","")</f>
        <v/>
      </c>
      <c r="C29" s="85" t="str">
        <f>IF(基本事項!W22=1,"般",IF(基本事項!W22=2,"特",""))</f>
        <v/>
      </c>
      <c r="D29" s="397" t="s">
        <v>78</v>
      </c>
      <c r="E29" s="444"/>
      <c r="F29" s="445"/>
      <c r="G29" s="95"/>
      <c r="H29" s="95"/>
      <c r="I29" s="95"/>
      <c r="J29" s="79" t="str">
        <f t="shared" si="2"/>
        <v/>
      </c>
      <c r="K29" s="79" t="str">
        <f t="shared" si="3"/>
        <v/>
      </c>
      <c r="L29" s="302" t="str">
        <f>IF(その他!$F$5=1,J29,K29)</f>
        <v/>
      </c>
      <c r="M29" s="303" t="str">
        <f>IF(B29="","",IF(基本事項!$AM$8=1,Z2最低点,IF(その他!$F$5=1,元請完成工事高Z2!G29,元請完成工事高Z2!Q29)))</f>
        <v/>
      </c>
      <c r="N29" s="33"/>
      <c r="O29" s="180">
        <f>完成工事高!G29-G29</f>
        <v>0</v>
      </c>
      <c r="P29" s="180">
        <f>完成工事高!H29-H29</f>
        <v>0</v>
      </c>
      <c r="Q29" s="180">
        <f>完成工事高!I29-I29</f>
        <v>0</v>
      </c>
      <c r="R29" s="181"/>
      <c r="S29" s="153"/>
      <c r="T29" s="163" t="s">
        <v>78</v>
      </c>
      <c r="U29" s="157" t="str">
        <f>'経営状況・自己資本額、平均利益額'!W28</f>
        <v/>
      </c>
      <c r="V29" s="157" t="str">
        <f>'経営状況・自己資本額、平均利益額'!X28</f>
        <v/>
      </c>
      <c r="W29" s="157" t="str">
        <f>'経営状況・自己資本額、平均利益額'!Y28</f>
        <v/>
      </c>
      <c r="X29" s="153"/>
    </row>
    <row r="30" spans="2:24" ht="18" customHeight="1" x14ac:dyDescent="0.15">
      <c r="B30" s="89" t="str">
        <f>IF(基本事項!X23=9,"*","")</f>
        <v/>
      </c>
      <c r="C30" s="85" t="str">
        <f>IF(基本事項!X22=1,"般",IF(基本事項!X22=2,"特",""))</f>
        <v/>
      </c>
      <c r="D30" s="397" t="s">
        <v>79</v>
      </c>
      <c r="E30" s="444"/>
      <c r="F30" s="445"/>
      <c r="G30" s="95"/>
      <c r="H30" s="95"/>
      <c r="I30" s="95"/>
      <c r="J30" s="79" t="str">
        <f t="shared" si="2"/>
        <v/>
      </c>
      <c r="K30" s="79" t="str">
        <f t="shared" si="3"/>
        <v/>
      </c>
      <c r="L30" s="302" t="str">
        <f>IF(その他!$F$5=1,J30,K30)</f>
        <v/>
      </c>
      <c r="M30" s="303" t="str">
        <f>IF(B30="","",IF(基本事項!$AM$8=1,Z2最低点,IF(その他!$F$5=1,元請完成工事高Z2!G30,元請完成工事高Z2!Q30)))</f>
        <v/>
      </c>
      <c r="N30" s="33"/>
      <c r="O30" s="180">
        <f>完成工事高!G30-G30</f>
        <v>0</v>
      </c>
      <c r="P30" s="180">
        <f>完成工事高!H30-H30</f>
        <v>0</v>
      </c>
      <c r="Q30" s="180">
        <f>完成工事高!I30-I30</f>
        <v>0</v>
      </c>
      <c r="R30" s="181"/>
      <c r="S30" s="153"/>
      <c r="T30" s="163" t="s">
        <v>79</v>
      </c>
      <c r="U30" s="157" t="str">
        <f>'経営状況・自己資本額、平均利益額'!W29</f>
        <v/>
      </c>
      <c r="V30" s="157" t="str">
        <f>'経営状況・自己資本額、平均利益額'!X29</f>
        <v/>
      </c>
      <c r="W30" s="157" t="str">
        <f>'経営状況・自己資本額、平均利益額'!Y29</f>
        <v/>
      </c>
      <c r="X30" s="153"/>
    </row>
    <row r="31" spans="2:24" ht="18" customHeight="1" x14ac:dyDescent="0.15">
      <c r="B31" s="89" t="str">
        <f>IF(基本事項!Y23=9,"*","")</f>
        <v/>
      </c>
      <c r="C31" s="85" t="str">
        <f>IF(基本事項!Y22=1,"般",IF(基本事項!Y22=2,"特",""))</f>
        <v/>
      </c>
      <c r="D31" s="397" t="s">
        <v>80</v>
      </c>
      <c r="E31" s="444"/>
      <c r="F31" s="445"/>
      <c r="G31" s="95"/>
      <c r="H31" s="95"/>
      <c r="I31" s="95"/>
      <c r="J31" s="79" t="str">
        <f t="shared" si="2"/>
        <v/>
      </c>
      <c r="K31" s="79" t="str">
        <f t="shared" si="3"/>
        <v/>
      </c>
      <c r="L31" s="302" t="str">
        <f>IF(その他!$F$5=1,J31,K31)</f>
        <v/>
      </c>
      <c r="M31" s="303" t="str">
        <f>IF(B31="","",IF(基本事項!$AM$8=1,Z2最低点,IF(その他!$F$5=1,元請完成工事高Z2!G31,元請完成工事高Z2!Q31)))</f>
        <v/>
      </c>
      <c r="N31" s="33"/>
      <c r="O31" s="180">
        <f>完成工事高!G31-G31</f>
        <v>0</v>
      </c>
      <c r="P31" s="180">
        <f>完成工事高!H31-H31</f>
        <v>0</v>
      </c>
      <c r="Q31" s="180">
        <f>完成工事高!I31-I31</f>
        <v>0</v>
      </c>
      <c r="R31" s="181"/>
      <c r="S31" s="153"/>
      <c r="T31" s="163" t="s">
        <v>80</v>
      </c>
      <c r="U31" s="157" t="str">
        <f>'経営状況・自己資本額、平均利益額'!W30</f>
        <v/>
      </c>
      <c r="V31" s="157" t="str">
        <f>'経営状況・自己資本額、平均利益額'!X30</f>
        <v/>
      </c>
      <c r="W31" s="157" t="str">
        <f>'経営状況・自己資本額、平均利益額'!Y30</f>
        <v/>
      </c>
      <c r="X31" s="153"/>
    </row>
    <row r="32" spans="2:24" ht="18" customHeight="1" x14ac:dyDescent="0.15">
      <c r="B32" s="89" t="str">
        <f>IF(基本事項!Z23=9,"*","")</f>
        <v/>
      </c>
      <c r="C32" s="85" t="str">
        <f>IF(基本事項!Z22=1,"般",IF(基本事項!Z22=2,"特",""))</f>
        <v/>
      </c>
      <c r="D32" s="397" t="s">
        <v>1</v>
      </c>
      <c r="E32" s="444"/>
      <c r="F32" s="445"/>
      <c r="G32" s="95"/>
      <c r="H32" s="95"/>
      <c r="I32" s="95"/>
      <c r="J32" s="79" t="str">
        <f t="shared" si="2"/>
        <v/>
      </c>
      <c r="K32" s="79" t="str">
        <f t="shared" si="3"/>
        <v/>
      </c>
      <c r="L32" s="302" t="str">
        <f>IF(その他!$F$5=1,J32,K32)</f>
        <v/>
      </c>
      <c r="M32" s="303" t="str">
        <f>IF(B32="","",IF(基本事項!$AM$8=1,Z2最低点,IF(その他!$F$5=1,元請完成工事高Z2!G32,元請完成工事高Z2!Q32)))</f>
        <v/>
      </c>
      <c r="N32" s="33"/>
      <c r="O32" s="180">
        <f>完成工事高!G32-G32</f>
        <v>0</v>
      </c>
      <c r="P32" s="180">
        <f>完成工事高!H32-H32</f>
        <v>0</v>
      </c>
      <c r="Q32" s="180">
        <f>完成工事高!I32-I32</f>
        <v>0</v>
      </c>
      <c r="R32" s="181"/>
      <c r="S32" s="153"/>
      <c r="T32" s="163" t="s">
        <v>1</v>
      </c>
      <c r="U32" s="157" t="str">
        <f>'経営状況・自己資本額、平均利益額'!W31</f>
        <v/>
      </c>
      <c r="V32" s="157" t="str">
        <f>'経営状況・自己資本額、平均利益額'!X31</f>
        <v/>
      </c>
      <c r="W32" s="157" t="str">
        <f>'経営状況・自己資本額、平均利益額'!Y31</f>
        <v/>
      </c>
      <c r="X32" s="153"/>
    </row>
    <row r="33" spans="2:24" ht="18" customHeight="1" x14ac:dyDescent="0.15">
      <c r="B33" s="89" t="str">
        <f>IF(基本事項!AA23=9,"*","")</f>
        <v/>
      </c>
      <c r="C33" s="85" t="str">
        <f>IF(基本事項!AA22=1,"般",IF(基本事項!AA22=2,"特",""))</f>
        <v/>
      </c>
      <c r="D33" s="397" t="s">
        <v>3</v>
      </c>
      <c r="E33" s="444"/>
      <c r="F33" s="445"/>
      <c r="G33" s="95"/>
      <c r="H33" s="95"/>
      <c r="I33" s="95"/>
      <c r="J33" s="79" t="str">
        <f t="shared" si="2"/>
        <v/>
      </c>
      <c r="K33" s="79" t="str">
        <f t="shared" si="3"/>
        <v/>
      </c>
      <c r="L33" s="302" t="str">
        <f>IF(その他!$F$5=1,J33,K33)</f>
        <v/>
      </c>
      <c r="M33" s="303" t="str">
        <f>IF(B33="","",IF(基本事項!$AM$8=1,Z2最低点,IF(その他!$F$5=1,元請完成工事高Z2!G33,元請完成工事高Z2!Q33)))</f>
        <v/>
      </c>
      <c r="N33" s="33"/>
      <c r="O33" s="180">
        <f>完成工事高!G33-G33</f>
        <v>0</v>
      </c>
      <c r="P33" s="180">
        <f>完成工事高!H33-H33</f>
        <v>0</v>
      </c>
      <c r="Q33" s="180">
        <f>完成工事高!I33-I33</f>
        <v>0</v>
      </c>
      <c r="R33" s="181"/>
      <c r="S33" s="153"/>
      <c r="T33" s="164" t="s">
        <v>3</v>
      </c>
      <c r="U33" s="157" t="str">
        <f>'経営状況・自己資本額、平均利益額'!W32</f>
        <v/>
      </c>
      <c r="V33" s="157" t="str">
        <f>'経営状況・自己資本額、平均利益額'!X32</f>
        <v/>
      </c>
      <c r="W33" s="157" t="str">
        <f>'経営状況・自己資本額、平均利益額'!Y32</f>
        <v/>
      </c>
      <c r="X33" s="153"/>
    </row>
    <row r="34" spans="2:24" ht="18" customHeight="1" x14ac:dyDescent="0.15">
      <c r="B34" s="89" t="str">
        <f>IF(基本事項!AB23=9,"*","")</f>
        <v/>
      </c>
      <c r="C34" s="85" t="str">
        <f>IF(基本事項!AB22=1,"般",IF(基本事項!AB22=2,"特",""))</f>
        <v/>
      </c>
      <c r="D34" s="397" t="s">
        <v>5</v>
      </c>
      <c r="E34" s="444"/>
      <c r="F34" s="445"/>
      <c r="G34" s="95"/>
      <c r="H34" s="95"/>
      <c r="I34" s="95"/>
      <c r="J34" s="79" t="str">
        <f t="shared" si="2"/>
        <v/>
      </c>
      <c r="K34" s="79" t="str">
        <f t="shared" si="3"/>
        <v/>
      </c>
      <c r="L34" s="302" t="str">
        <f>IF(その他!$F$5=1,J34,K34)</f>
        <v/>
      </c>
      <c r="M34" s="303" t="str">
        <f>IF(B34="","",IF(基本事項!$AM$8=1,Z2最低点,IF(その他!$F$5=1,元請完成工事高Z2!G34,元請完成工事高Z2!Q34)))</f>
        <v/>
      </c>
      <c r="N34" s="33"/>
      <c r="O34" s="180">
        <f>完成工事高!G34-G34</f>
        <v>0</v>
      </c>
      <c r="P34" s="180">
        <f>完成工事高!H34-H34</f>
        <v>0</v>
      </c>
      <c r="Q34" s="180">
        <f>完成工事高!I34-I34</f>
        <v>0</v>
      </c>
      <c r="R34" s="181"/>
      <c r="S34" s="153"/>
      <c r="T34" s="163" t="s">
        <v>5</v>
      </c>
      <c r="U34" s="157" t="str">
        <f>'経営状況・自己資本額、平均利益額'!W33</f>
        <v/>
      </c>
      <c r="V34" s="157" t="str">
        <f>'経営状況・自己資本額、平均利益額'!X33</f>
        <v/>
      </c>
      <c r="W34" s="157" t="str">
        <f>'経営状況・自己資本額、平均利益額'!Y33</f>
        <v/>
      </c>
      <c r="X34" s="153"/>
    </row>
    <row r="35" spans="2:24" ht="18" customHeight="1" x14ac:dyDescent="0.15">
      <c r="B35" s="89" t="str">
        <f>IF(基本事項!AC23=9,"*","")</f>
        <v/>
      </c>
      <c r="C35" s="85" t="str">
        <f>IF(基本事項!AC22=1,"般",IF(基本事項!AC22=2,"特",""))</f>
        <v/>
      </c>
      <c r="D35" s="397" t="s">
        <v>7</v>
      </c>
      <c r="E35" s="444"/>
      <c r="F35" s="445"/>
      <c r="G35" s="95"/>
      <c r="H35" s="95"/>
      <c r="I35" s="95"/>
      <c r="J35" s="79" t="str">
        <f t="shared" si="2"/>
        <v/>
      </c>
      <c r="K35" s="79" t="str">
        <f t="shared" si="3"/>
        <v/>
      </c>
      <c r="L35" s="302" t="str">
        <f>IF(その他!$F$5=1,J35,K35)</f>
        <v/>
      </c>
      <c r="M35" s="303" t="str">
        <f>IF(B35="","",IF(基本事項!$AM$8=1,Z2最低点,IF(その他!$F$5=1,元請完成工事高Z2!G35,元請完成工事高Z2!Q35)))</f>
        <v/>
      </c>
      <c r="N35" s="33"/>
      <c r="O35" s="180">
        <f>完成工事高!G35-G35</f>
        <v>0</v>
      </c>
      <c r="P35" s="180">
        <f>完成工事高!H35-H35</f>
        <v>0</v>
      </c>
      <c r="Q35" s="180">
        <f>完成工事高!I35-I35</f>
        <v>0</v>
      </c>
      <c r="R35" s="181"/>
      <c r="S35" s="153"/>
      <c r="T35" s="163" t="s">
        <v>7</v>
      </c>
      <c r="U35" s="157" t="str">
        <f>'経営状況・自己資本額、平均利益額'!W34</f>
        <v/>
      </c>
      <c r="V35" s="157" t="str">
        <f>'経営状況・自己資本額、平均利益額'!X34</f>
        <v/>
      </c>
      <c r="W35" s="157" t="str">
        <f>'経営状況・自己資本額、平均利益額'!Y34</f>
        <v/>
      </c>
      <c r="X35" s="153"/>
    </row>
    <row r="36" spans="2:24" ht="18" customHeight="1" x14ac:dyDescent="0.15">
      <c r="B36" s="89" t="str">
        <f>IF(基本事項!AD23=9,"*","")</f>
        <v/>
      </c>
      <c r="C36" s="85" t="str">
        <f>IF(基本事項!AD22=1,"般",IF(基本事項!AD22=2,"特",""))</f>
        <v/>
      </c>
      <c r="D36" s="397" t="s">
        <v>9</v>
      </c>
      <c r="E36" s="444"/>
      <c r="F36" s="445"/>
      <c r="G36" s="95"/>
      <c r="H36" s="95"/>
      <c r="I36" s="95"/>
      <c r="J36" s="79" t="str">
        <f t="shared" si="2"/>
        <v/>
      </c>
      <c r="K36" s="79" t="str">
        <f t="shared" si="3"/>
        <v/>
      </c>
      <c r="L36" s="302" t="str">
        <f>IF(その他!$F$5=1,J36,K36)</f>
        <v/>
      </c>
      <c r="M36" s="303" t="str">
        <f>IF(B36="","",IF(基本事項!$AM$8=1,Z2最低点,IF(その他!$F$5=1,元請完成工事高Z2!G36,元請完成工事高Z2!Q36)))</f>
        <v/>
      </c>
      <c r="N36" s="33"/>
      <c r="O36" s="180">
        <f>完成工事高!G36-G36</f>
        <v>0</v>
      </c>
      <c r="P36" s="180">
        <f>完成工事高!H36-H36</f>
        <v>0</v>
      </c>
      <c r="Q36" s="180">
        <f>完成工事高!I36-I36</f>
        <v>0</v>
      </c>
      <c r="R36" s="181"/>
      <c r="S36" s="153"/>
      <c r="T36" s="163" t="s">
        <v>9</v>
      </c>
      <c r="U36" s="157" t="str">
        <f>'経営状況・自己資本額、平均利益額'!W35</f>
        <v/>
      </c>
      <c r="V36" s="157" t="str">
        <f>'経営状況・自己資本額、平均利益額'!X35</f>
        <v/>
      </c>
      <c r="W36" s="157" t="str">
        <f>'経営状況・自己資本額、平均利益額'!Y35</f>
        <v/>
      </c>
      <c r="X36" s="153"/>
    </row>
    <row r="37" spans="2:24" ht="18" customHeight="1" x14ac:dyDescent="0.15">
      <c r="B37" s="89" t="str">
        <f>IF(基本事項!AE23=9,"*","")</f>
        <v/>
      </c>
      <c r="C37" s="85" t="str">
        <f>IF(基本事項!AE22=1,"般",IF(基本事項!AE22=2,"特",""))</f>
        <v/>
      </c>
      <c r="D37" s="397" t="s">
        <v>12</v>
      </c>
      <c r="E37" s="444"/>
      <c r="F37" s="445"/>
      <c r="G37" s="95"/>
      <c r="H37" s="95"/>
      <c r="I37" s="95"/>
      <c r="J37" s="79" t="str">
        <f t="shared" si="2"/>
        <v/>
      </c>
      <c r="K37" s="79" t="str">
        <f t="shared" si="3"/>
        <v/>
      </c>
      <c r="L37" s="302" t="str">
        <f>IF(その他!$F$5=1,J37,K37)</f>
        <v/>
      </c>
      <c r="M37" s="303" t="str">
        <f>IF(B37="","",IF(基本事項!$AM$8=1,Z2最低点,IF(その他!$F$5=1,元請完成工事高Z2!G37,元請完成工事高Z2!Q37)))</f>
        <v/>
      </c>
      <c r="N37" s="33"/>
      <c r="O37" s="180">
        <f>完成工事高!G37-G37</f>
        <v>0</v>
      </c>
      <c r="P37" s="180">
        <f>完成工事高!H37-H37</f>
        <v>0</v>
      </c>
      <c r="Q37" s="180">
        <f>完成工事高!I37-I37</f>
        <v>0</v>
      </c>
      <c r="R37" s="181"/>
      <c r="S37" s="153"/>
      <c r="T37" s="163" t="s">
        <v>12</v>
      </c>
      <c r="U37" s="157" t="str">
        <f>'経営状況・自己資本額、平均利益額'!W36</f>
        <v/>
      </c>
      <c r="V37" s="157" t="str">
        <f>'経営状況・自己資本額、平均利益額'!X36</f>
        <v/>
      </c>
      <c r="W37" s="157" t="str">
        <f>'経営状況・自己資本額、平均利益額'!Y36</f>
        <v/>
      </c>
      <c r="X37" s="153"/>
    </row>
    <row r="38" spans="2:24" ht="18" customHeight="1" x14ac:dyDescent="0.15">
      <c r="B38" s="84" t="str">
        <f>IF(基本事項!AF23=9,"*","")</f>
        <v/>
      </c>
      <c r="C38" s="85" t="str">
        <f>IF(基本事項!AF22=1,"般",IF(基本事項!AF22=2,"特",""))</f>
        <v/>
      </c>
      <c r="D38" s="397" t="s">
        <v>533</v>
      </c>
      <c r="E38" s="444"/>
      <c r="F38" s="445"/>
      <c r="G38" s="95"/>
      <c r="H38" s="95"/>
      <c r="I38" s="95"/>
      <c r="J38" s="79" t="str">
        <f t="shared" si="2"/>
        <v/>
      </c>
      <c r="K38" s="79" t="str">
        <f t="shared" si="3"/>
        <v/>
      </c>
      <c r="L38" s="302" t="str">
        <f>IF(その他!$F$5=1,J38,K38)</f>
        <v/>
      </c>
      <c r="M38" s="303" t="str">
        <f>IF(B38="","",IF(基本事項!$AM$8=1,Z2最低点,IF(その他!$F$5=1,元請完成工事高Z2!G38,元請完成工事高Z2!Q38)))</f>
        <v/>
      </c>
      <c r="N38" s="33"/>
      <c r="O38" s="180">
        <f>完成工事高!G38-G38</f>
        <v>0</v>
      </c>
      <c r="P38" s="180">
        <f>完成工事高!H38-H38</f>
        <v>0</v>
      </c>
      <c r="Q38" s="180">
        <f>完成工事高!I38-I38</f>
        <v>0</v>
      </c>
      <c r="R38" s="181"/>
      <c r="S38" s="153"/>
      <c r="T38" s="146" t="s">
        <v>533</v>
      </c>
      <c r="U38" s="157" t="str">
        <f>'経営状況・自己資本額、平均利益額'!W37</f>
        <v/>
      </c>
      <c r="V38" s="157" t="str">
        <f>'経営状況・自己資本額、平均利益額'!X37</f>
        <v/>
      </c>
      <c r="W38" s="157" t="str">
        <f>'経営状況・自己資本額、平均利益額'!Y37</f>
        <v/>
      </c>
      <c r="X38" s="153"/>
    </row>
    <row r="39" spans="2:24" ht="18" customHeight="1" x14ac:dyDescent="0.15">
      <c r="B39" s="89"/>
      <c r="C39" s="85"/>
      <c r="D39" s="397" t="s">
        <v>47</v>
      </c>
      <c r="E39" s="444"/>
      <c r="F39" s="445"/>
      <c r="G39" s="78"/>
      <c r="H39" s="78"/>
      <c r="I39" s="78"/>
      <c r="J39" s="79" t="str">
        <f>IF(AND(G39=0,H39=0),"",ROUND((G39+H39)/2,0))</f>
        <v/>
      </c>
      <c r="K39" s="79" t="str">
        <f>IF(AND(G39=0,H39=0,I39=0),"",ROUND((TRUNC((H39+I39)/2)*2+G39)/3,0))</f>
        <v/>
      </c>
      <c r="L39" s="302" t="str">
        <f>IF(その他!$F$5=1,J39,K39)</f>
        <v/>
      </c>
      <c r="M39" s="304"/>
      <c r="N39" s="33"/>
      <c r="O39" s="180">
        <f>完成工事高!G39-G39</f>
        <v>0</v>
      </c>
      <c r="P39" s="180">
        <f>完成工事高!H39-H39</f>
        <v>0</v>
      </c>
      <c r="Q39" s="180">
        <f>完成工事高!I39-I39</f>
        <v>0</v>
      </c>
      <c r="R39" s="181"/>
      <c r="S39" s="153"/>
      <c r="T39" s="153"/>
      <c r="U39" s="153"/>
      <c r="V39" s="153"/>
      <c r="W39" s="153"/>
      <c r="X39" s="153"/>
    </row>
    <row r="40" spans="2:24" ht="18" customHeight="1" thickBot="1" x14ac:dyDescent="0.2">
      <c r="B40" s="87"/>
      <c r="C40" s="83"/>
      <c r="D40" s="460" t="s">
        <v>114</v>
      </c>
      <c r="E40" s="461"/>
      <c r="F40" s="461"/>
      <c r="G40" s="79">
        <f>SUM(G7:G39)-(G8+G13+G20)</f>
        <v>255630</v>
      </c>
      <c r="H40" s="79">
        <f>SUM(H7:H39)-(H8+H13+H20)</f>
        <v>180500</v>
      </c>
      <c r="I40" s="79">
        <f>SUM(I7:I39)-(I8+I13+I20)</f>
        <v>144300</v>
      </c>
      <c r="J40" s="79">
        <f>ROUND((G40+H40)/2,0)</f>
        <v>218065</v>
      </c>
      <c r="K40" s="79">
        <f>ROUND((TRUNC((H40+I40)/2)*2+G40)/3,0)</f>
        <v>193477</v>
      </c>
      <c r="L40" s="302">
        <f>IF(その他!$F$5=1,J40,K40)</f>
        <v>193477</v>
      </c>
      <c r="M40" s="305"/>
      <c r="N40" s="33"/>
      <c r="O40" s="180"/>
      <c r="P40" s="180"/>
      <c r="Q40" s="180"/>
      <c r="R40" s="181"/>
    </row>
    <row r="41" spans="2:24" ht="18" customHeight="1" thickTop="1" x14ac:dyDescent="0.15"/>
  </sheetData>
  <sheetProtection algorithmName="SHA-512" hashValue="k4zkK+9c2nLgUV80rARqnGWeW8psqW88HslwIz8EcGyg1z+4XvSQUH1hCPLDGYkEr/SQFufQOHX+MlAU6QxLqQ==" saltValue="6ZYX5ae2zwZOlcaFvTRw0A==" spinCount="100000" sheet="1" objects="1" scenarios="1" selectLockedCells="1"/>
  <mergeCells count="50">
    <mergeCell ref="T2:W2"/>
    <mergeCell ref="G4:M4"/>
    <mergeCell ref="O4:Q4"/>
    <mergeCell ref="I5:I6"/>
    <mergeCell ref="J5:J6"/>
    <mergeCell ref="Q5:Q6"/>
    <mergeCell ref="G5:G6"/>
    <mergeCell ref="P5:P6"/>
    <mergeCell ref="K5:K6"/>
    <mergeCell ref="M5:M6"/>
    <mergeCell ref="H5:H6"/>
    <mergeCell ref="L1:M1"/>
    <mergeCell ref="G2:K3"/>
    <mergeCell ref="C4:C6"/>
    <mergeCell ref="D4:F6"/>
    <mergeCell ref="B4:B6"/>
    <mergeCell ref="D12:F12"/>
    <mergeCell ref="E13:F13"/>
    <mergeCell ref="D11:F11"/>
    <mergeCell ref="D7:F7"/>
    <mergeCell ref="E8:F8"/>
    <mergeCell ref="D9:F9"/>
    <mergeCell ref="D10:F10"/>
    <mergeCell ref="D16:F16"/>
    <mergeCell ref="D17:F17"/>
    <mergeCell ref="D14:F14"/>
    <mergeCell ref="E20:F20"/>
    <mergeCell ref="D21:F21"/>
    <mergeCell ref="D18:F18"/>
    <mergeCell ref="D19:F19"/>
    <mergeCell ref="D15:F15"/>
    <mergeCell ref="D22:F22"/>
    <mergeCell ref="D23:F23"/>
    <mergeCell ref="D26:F26"/>
    <mergeCell ref="D27:F27"/>
    <mergeCell ref="D24:F24"/>
    <mergeCell ref="D25:F25"/>
    <mergeCell ref="D28:F28"/>
    <mergeCell ref="D29:F29"/>
    <mergeCell ref="D32:F32"/>
    <mergeCell ref="D39:F39"/>
    <mergeCell ref="D30:F30"/>
    <mergeCell ref="D31:F31"/>
    <mergeCell ref="D40:F40"/>
    <mergeCell ref="D33:F33"/>
    <mergeCell ref="D34:F34"/>
    <mergeCell ref="D35:F35"/>
    <mergeCell ref="D36:F36"/>
    <mergeCell ref="D37:F37"/>
    <mergeCell ref="D38:F38"/>
  </mergeCells>
  <phoneticPr fontId="2"/>
  <conditionalFormatting sqref="G7 G9:G12 G14:G19 G21:G38">
    <cfRule type="expression" dxfId="29" priority="34" stopIfTrue="1">
      <formula>B7="*"</formula>
    </cfRule>
  </conditionalFormatting>
  <conditionalFormatting sqref="H7 H9:H12 H14:H19 H21:H38">
    <cfRule type="expression" dxfId="28" priority="33" stopIfTrue="1">
      <formula>B7="*"</formula>
    </cfRule>
  </conditionalFormatting>
  <conditionalFormatting sqref="I7 I9:I12 I14:I19 I21:I38">
    <cfRule type="expression" dxfId="27" priority="32" stopIfTrue="1">
      <formula>B7="*"</formula>
    </cfRule>
  </conditionalFormatting>
  <conditionalFormatting sqref="G7 G9:G12 G14:G19 G21:G38">
    <cfRule type="expression" dxfId="26" priority="22" stopIfTrue="1">
      <formula>O7&lt;0</formula>
    </cfRule>
  </conditionalFormatting>
  <conditionalFormatting sqref="H7 H9:H12 H14:H19 H21:H38">
    <cfRule type="expression" dxfId="25" priority="21" stopIfTrue="1">
      <formula>P7&lt;0</formula>
    </cfRule>
  </conditionalFormatting>
  <conditionalFormatting sqref="I7 I9:I12 I14:I19 I21:I38">
    <cfRule type="expression" dxfId="24" priority="20" stopIfTrue="1">
      <formula>Q7&lt;0</formula>
    </cfRule>
  </conditionalFormatting>
  <conditionalFormatting sqref="G8">
    <cfRule type="expression" dxfId="23" priority="10" stopIfTrue="1">
      <formula>O8&lt;0</formula>
    </cfRule>
    <cfRule type="expression" dxfId="22" priority="19" stopIfTrue="1">
      <formula>B7="*"</formula>
    </cfRule>
  </conditionalFormatting>
  <conditionalFormatting sqref="G13">
    <cfRule type="expression" dxfId="21" priority="7" stopIfTrue="1">
      <formula>O13&lt;0</formula>
    </cfRule>
    <cfRule type="expression" dxfId="20" priority="18" stopIfTrue="1">
      <formula>B12="*"</formula>
    </cfRule>
  </conditionalFormatting>
  <conditionalFormatting sqref="G20">
    <cfRule type="expression" dxfId="19" priority="4" stopIfTrue="1">
      <formula>O20&lt;0</formula>
    </cfRule>
    <cfRule type="expression" dxfId="18" priority="17" stopIfTrue="1">
      <formula>B19="*"</formula>
    </cfRule>
  </conditionalFormatting>
  <conditionalFormatting sqref="H8">
    <cfRule type="expression" dxfId="17" priority="9" stopIfTrue="1">
      <formula>P8&lt;0</formula>
    </cfRule>
    <cfRule type="expression" dxfId="16" priority="16" stopIfTrue="1">
      <formula>B7="*"</formula>
    </cfRule>
  </conditionalFormatting>
  <conditionalFormatting sqref="I8">
    <cfRule type="expression" dxfId="15" priority="8" stopIfTrue="1">
      <formula>Q8&lt;0</formula>
    </cfRule>
    <cfRule type="expression" dxfId="14" priority="15" stopIfTrue="1">
      <formula>B7="*"</formula>
    </cfRule>
  </conditionalFormatting>
  <conditionalFormatting sqref="H13">
    <cfRule type="expression" dxfId="13" priority="6" stopIfTrue="1">
      <formula>P13&lt;0</formula>
    </cfRule>
    <cfRule type="expression" dxfId="12" priority="14" stopIfTrue="1">
      <formula>B12="*"</formula>
    </cfRule>
  </conditionalFormatting>
  <conditionalFormatting sqref="I13">
    <cfRule type="expression" dxfId="11" priority="5" stopIfTrue="1">
      <formula>Q13&lt;0</formula>
    </cfRule>
    <cfRule type="expression" dxfId="10" priority="13" stopIfTrue="1">
      <formula>B12="*"</formula>
    </cfRule>
  </conditionalFormatting>
  <conditionalFormatting sqref="H20">
    <cfRule type="expression" dxfId="9" priority="3" stopIfTrue="1">
      <formula>P20&lt;0</formula>
    </cfRule>
    <cfRule type="expression" dxfId="8" priority="12" stopIfTrue="1">
      <formula>B19="*"</formula>
    </cfRule>
  </conditionalFormatting>
  <conditionalFormatting sqref="I20">
    <cfRule type="expression" dxfId="7" priority="2" stopIfTrue="1">
      <formula>Q20&lt;0</formula>
    </cfRule>
    <cfRule type="expression" dxfId="6" priority="11" stopIfTrue="1">
      <formula>B19="*"</formula>
    </cfRule>
  </conditionalFormatting>
  <conditionalFormatting sqref="G2:K3">
    <cfRule type="expression" dxfId="5" priority="1" stopIfTrue="1">
      <formula>O3&gt;0</formula>
    </cfRule>
  </conditionalFormatting>
  <dataValidations count="2">
    <dataValidation allowBlank="1" showInputMessage="1" showErrorMessage="1" prompt="左のプルダウンメニューで選択" sqref="B1:B2 I4" xr:uid="{00000000-0002-0000-0600-000000000000}"/>
    <dataValidation type="whole" imeMode="disabled" operator="greaterThanOrEqual" allowBlank="1" showErrorMessage="1" errorTitle="不正な入力です！" error="整数以外入力不可" prompt="完成工事高入力_x000a_単位）千円" sqref="G7:I39" xr:uid="{00000000-0002-0000-0600-000001000000}">
      <formula1>0</formula1>
    </dataValidation>
  </dataValidations>
  <pageMargins left="0.78740157480314965" right="0.19685039370078741" top="0.39370078740157483" bottom="0.19685039370078741" header="0" footer="0"/>
  <pageSetup paperSize="9"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6689" r:id="rId4" name="Drop Down 1">
              <controlPr defaultSize="0" autoLine="0" autoPict="0">
                <anchor moveWithCells="1">
                  <from>
                    <xdr:col>1</xdr:col>
                    <xdr:colOff>104775</xdr:colOff>
                    <xdr:row>2</xdr:row>
                    <xdr:rowOff>0</xdr:rowOff>
                  </from>
                  <to>
                    <xdr:col>5</xdr:col>
                    <xdr:colOff>685800</xdr:colOff>
                    <xdr:row>2</xdr:row>
                    <xdr:rowOff>209550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8"/>
  <dimension ref="B1:Y41"/>
  <sheetViews>
    <sheetView showGridLines="0" showRowColHeaders="0" zoomScaleNormal="100" workbookViewId="0">
      <pane xSplit="6" ySplit="6" topLeftCell="G7" activePane="bottomRight" state="frozen"/>
      <selection activeCell="F1" sqref="F1:F65536"/>
      <selection pane="topRight" activeCell="F1" sqref="F1:F65536"/>
      <selection pane="bottomLeft" activeCell="F1" sqref="F1:F65536"/>
      <selection pane="bottomRight" activeCell="G7" sqref="G7"/>
    </sheetView>
  </sheetViews>
  <sheetFormatPr defaultColWidth="9" defaultRowHeight="18" customHeight="1" x14ac:dyDescent="0.15"/>
  <cols>
    <col min="1" max="1" width="3.625" style="1" customWidth="1"/>
    <col min="2" max="2" width="2.875" style="29" customWidth="1"/>
    <col min="3" max="3" width="2.875" style="30" customWidth="1"/>
    <col min="4" max="4" width="2.125" style="1" customWidth="1"/>
    <col min="5" max="5" width="2.875" style="1" customWidth="1"/>
    <col min="6" max="6" width="11.125" style="1" customWidth="1"/>
    <col min="7" max="14" width="8.375" style="1" customWidth="1"/>
    <col min="15" max="16" width="9.625" style="1" customWidth="1"/>
    <col min="17" max="17" width="3.625" style="1" customWidth="1"/>
    <col min="18" max="18" width="9.625" style="1" customWidth="1"/>
    <col min="19" max="19" width="3.625" style="1" customWidth="1"/>
    <col min="20" max="20" width="0.875" style="1" customWidth="1"/>
    <col min="21" max="21" width="11.625" style="1" customWidth="1"/>
    <col min="22" max="24" width="7.625" style="1" customWidth="1"/>
    <col min="25" max="25" width="0.875" style="1" customWidth="1"/>
    <col min="26" max="16384" width="9" style="1"/>
  </cols>
  <sheetData>
    <row r="1" spans="2:25" ht="18" customHeight="1" x14ac:dyDescent="0.15">
      <c r="B1" s="130" t="s">
        <v>40</v>
      </c>
      <c r="C1" s="174"/>
      <c r="G1" s="16"/>
      <c r="H1" s="16"/>
      <c r="I1" s="16"/>
      <c r="J1" s="16"/>
      <c r="K1" s="16"/>
      <c r="L1" s="16"/>
      <c r="M1" s="16"/>
      <c r="N1" s="16"/>
      <c r="O1" s="455" t="s">
        <v>208</v>
      </c>
      <c r="P1" s="455"/>
      <c r="Q1" s="16"/>
      <c r="R1" s="155" t="s">
        <v>394</v>
      </c>
      <c r="S1" s="16"/>
    </row>
    <row r="2" spans="2:25" s="177" customFormat="1" ht="18" customHeight="1" x14ac:dyDescent="0.15">
      <c r="B2" s="130" t="s">
        <v>199</v>
      </c>
      <c r="C2" s="174"/>
      <c r="D2" s="175"/>
      <c r="E2" s="175"/>
      <c r="F2" s="175"/>
      <c r="G2" s="36"/>
      <c r="H2" s="36"/>
      <c r="I2" s="36"/>
      <c r="J2" s="36"/>
      <c r="K2" s="36"/>
      <c r="L2" s="36"/>
      <c r="M2" s="36"/>
      <c r="N2" s="36"/>
      <c r="O2" s="155" t="s">
        <v>27</v>
      </c>
      <c r="P2" s="248">
        <v>2335</v>
      </c>
      <c r="Q2" s="36"/>
      <c r="R2" s="248">
        <v>2441</v>
      </c>
      <c r="S2" s="36"/>
      <c r="T2" s="176"/>
      <c r="U2" s="477" t="s">
        <v>126</v>
      </c>
      <c r="V2" s="477"/>
      <c r="W2" s="477"/>
      <c r="X2" s="477"/>
      <c r="Y2" s="176"/>
    </row>
    <row r="3" spans="2:25" s="2" customFormat="1" ht="18" customHeight="1" thickBot="1" x14ac:dyDescent="0.2">
      <c r="B3" s="29"/>
      <c r="C3" s="30"/>
      <c r="D3" s="31"/>
      <c r="E3" s="31"/>
      <c r="F3" s="31"/>
      <c r="G3" s="36"/>
      <c r="H3" s="36"/>
      <c r="I3" s="36"/>
      <c r="J3" s="36"/>
      <c r="K3" s="36"/>
      <c r="L3" s="36"/>
      <c r="M3" s="36"/>
      <c r="N3" s="36"/>
      <c r="O3" s="178" t="s">
        <v>198</v>
      </c>
      <c r="P3" s="257">
        <v>510</v>
      </c>
      <c r="Q3" s="36"/>
      <c r="R3" s="257">
        <v>456</v>
      </c>
      <c r="S3" s="36"/>
      <c r="T3" s="176"/>
      <c r="U3" s="151"/>
      <c r="V3" s="161" t="s">
        <v>468</v>
      </c>
      <c r="W3" s="161" t="s">
        <v>469</v>
      </c>
      <c r="X3" s="161" t="s">
        <v>470</v>
      </c>
      <c r="Y3" s="148"/>
    </row>
    <row r="4" spans="2:25" s="2" customFormat="1" ht="18" customHeight="1" thickTop="1" thickBot="1" x14ac:dyDescent="0.2">
      <c r="B4" s="462" t="s">
        <v>562</v>
      </c>
      <c r="C4" s="462" t="s">
        <v>565</v>
      </c>
      <c r="D4" s="465"/>
      <c r="E4" s="466"/>
      <c r="F4" s="467"/>
      <c r="G4" s="480" t="s">
        <v>206</v>
      </c>
      <c r="H4" s="481"/>
      <c r="I4" s="481"/>
      <c r="J4" s="481"/>
      <c r="K4" s="481"/>
      <c r="L4" s="481"/>
      <c r="M4" s="481"/>
      <c r="N4" s="481"/>
      <c r="O4" s="481"/>
      <c r="P4" s="482"/>
      <c r="Q4" s="174"/>
      <c r="R4" s="483" t="s">
        <v>394</v>
      </c>
      <c r="S4" s="174"/>
      <c r="T4" s="176"/>
      <c r="U4" s="151"/>
      <c r="V4" s="157">
        <f>'経営状況・自己資本額、平均利益額'!W3</f>
        <v>0</v>
      </c>
      <c r="W4" s="157">
        <f>'経営状況・自己資本額、平均利益額'!X3</f>
        <v>665</v>
      </c>
      <c r="X4" s="157">
        <f>'経営状況・自己資本額、平均利益額'!Y3</f>
        <v>0</v>
      </c>
      <c r="Y4" s="148"/>
    </row>
    <row r="5" spans="2:25" s="16" customFormat="1" ht="18" customHeight="1" thickTop="1" x14ac:dyDescent="0.15">
      <c r="B5" s="463"/>
      <c r="C5" s="463"/>
      <c r="D5" s="468"/>
      <c r="E5" s="469"/>
      <c r="F5" s="470"/>
      <c r="G5" s="289" t="s">
        <v>155</v>
      </c>
      <c r="H5" s="294" t="s">
        <v>426</v>
      </c>
      <c r="I5" s="315" t="s">
        <v>619</v>
      </c>
      <c r="J5" s="289" t="s">
        <v>204</v>
      </c>
      <c r="K5" s="294" t="s">
        <v>578</v>
      </c>
      <c r="L5" s="289" t="s">
        <v>205</v>
      </c>
      <c r="M5" s="294" t="s">
        <v>579</v>
      </c>
      <c r="N5" s="126" t="s">
        <v>47</v>
      </c>
      <c r="O5" s="289" t="s">
        <v>206</v>
      </c>
      <c r="P5" s="456" t="s">
        <v>395</v>
      </c>
      <c r="Q5" s="179"/>
      <c r="R5" s="484"/>
      <c r="S5" s="174"/>
      <c r="T5" s="151"/>
      <c r="U5" s="151"/>
      <c r="V5" s="159"/>
      <c r="W5" s="159"/>
      <c r="X5" s="159"/>
      <c r="Y5" s="151"/>
    </row>
    <row r="6" spans="2:25" s="16" customFormat="1" ht="18" customHeight="1" x14ac:dyDescent="0.15">
      <c r="B6" s="464"/>
      <c r="C6" s="464"/>
      <c r="D6" s="471"/>
      <c r="E6" s="472"/>
      <c r="F6" s="473"/>
      <c r="G6" s="290" t="s">
        <v>576</v>
      </c>
      <c r="H6" s="295" t="s">
        <v>203</v>
      </c>
      <c r="I6" s="316" t="s">
        <v>620</v>
      </c>
      <c r="J6" s="290" t="s">
        <v>577</v>
      </c>
      <c r="K6" s="295" t="s">
        <v>577</v>
      </c>
      <c r="L6" s="290" t="s">
        <v>576</v>
      </c>
      <c r="M6" s="295" t="s">
        <v>577</v>
      </c>
      <c r="N6" s="127" t="s">
        <v>576</v>
      </c>
      <c r="O6" s="290" t="s">
        <v>207</v>
      </c>
      <c r="P6" s="457"/>
      <c r="Q6" s="179"/>
      <c r="R6" s="485"/>
      <c r="S6" s="174"/>
      <c r="T6" s="151"/>
      <c r="U6" s="160"/>
      <c r="V6" s="161" t="s">
        <v>471</v>
      </c>
      <c r="W6" s="161" t="s">
        <v>472</v>
      </c>
      <c r="X6" s="161" t="s">
        <v>473</v>
      </c>
      <c r="Y6" s="151"/>
    </row>
    <row r="7" spans="2:25" ht="18" customHeight="1" x14ac:dyDescent="0.15">
      <c r="B7" s="86" t="str">
        <f>IF(基本事項!D23=9,"*","")</f>
        <v>*</v>
      </c>
      <c r="C7" s="81" t="str">
        <f>IF(基本事項!D22=1,"般",IF(基本事項!D22=2,"特",""))</f>
        <v>特</v>
      </c>
      <c r="D7" s="401" t="s">
        <v>48</v>
      </c>
      <c r="E7" s="451"/>
      <c r="F7" s="452"/>
      <c r="G7" s="321">
        <v>7</v>
      </c>
      <c r="H7" s="317">
        <v>6</v>
      </c>
      <c r="I7" s="291">
        <v>1</v>
      </c>
      <c r="J7" s="321"/>
      <c r="K7" s="317"/>
      <c r="L7" s="321">
        <v>7</v>
      </c>
      <c r="M7" s="317"/>
      <c r="N7" s="291">
        <v>1</v>
      </c>
      <c r="O7" s="301">
        <f>IF(B7="","",G7*5+H7*1+I7*4+J7*3+K7*3+L7*2+M7*2+N7*1)</f>
        <v>60</v>
      </c>
      <c r="P7" s="303">
        <f>IF(B7="","",IF(基本事項!$AM$8=1,Z1最低点,技術職員数Z1!G7))</f>
        <v>510</v>
      </c>
      <c r="Q7" s="33"/>
      <c r="R7" s="303">
        <f>IF(P7="","",TRUNC(0.8*P7+0.2*元請完成工事高!M7))</f>
        <v>456</v>
      </c>
      <c r="S7" s="33"/>
      <c r="T7" s="153"/>
      <c r="U7" s="162" t="s">
        <v>48</v>
      </c>
      <c r="V7" s="157">
        <f>'経営状況・自己資本額、平均利益額'!W6</f>
        <v>414</v>
      </c>
      <c r="W7" s="157">
        <f>'経営状況・自己資本額、平均利益額'!X6</f>
        <v>801</v>
      </c>
      <c r="X7" s="157">
        <f>'経営状況・自己資本額、平均利益額'!Y6</f>
        <v>456</v>
      </c>
      <c r="Y7" s="153"/>
    </row>
    <row r="8" spans="2:25" ht="18" customHeight="1" x14ac:dyDescent="0.15">
      <c r="B8" s="87"/>
      <c r="C8" s="83"/>
      <c r="D8" s="128"/>
      <c r="E8" s="449" t="s">
        <v>24</v>
      </c>
      <c r="F8" s="450"/>
      <c r="G8" s="321"/>
      <c r="H8" s="320"/>
      <c r="I8" s="317"/>
      <c r="J8" s="321"/>
      <c r="K8" s="320"/>
      <c r="L8" s="321"/>
      <c r="M8" s="320"/>
      <c r="N8" s="94"/>
      <c r="O8" s="301"/>
      <c r="P8" s="303">
        <f>P7</f>
        <v>510</v>
      </c>
      <c r="Q8" s="33"/>
      <c r="R8" s="303">
        <f>IF(P8="","",TRUNC(0.8*P8+0.2*元請完成工事高!M8))</f>
        <v>456</v>
      </c>
      <c r="S8" s="33"/>
      <c r="T8" s="153"/>
      <c r="U8" s="162" t="s">
        <v>125</v>
      </c>
      <c r="V8" s="157">
        <f>'経営状況・自己資本額、平均利益額'!W7</f>
        <v>313</v>
      </c>
      <c r="W8" s="157">
        <f>'経営状況・自己資本額、平均利益額'!X7</f>
        <v>397</v>
      </c>
      <c r="X8" s="157">
        <f>'経営状況・自己資本額、平均利益額'!Y7</f>
        <v>456</v>
      </c>
      <c r="Y8" s="153"/>
    </row>
    <row r="9" spans="2:25" ht="18" customHeight="1" x14ac:dyDescent="0.15">
      <c r="B9" s="89" t="str">
        <f>IF(基本事項!E23=9,"*","")</f>
        <v>*</v>
      </c>
      <c r="C9" s="85" t="str">
        <f>IF(基本事項!E22=1,"般",IF(基本事項!E22=2,"特",""))</f>
        <v>般</v>
      </c>
      <c r="D9" s="397" t="s">
        <v>53</v>
      </c>
      <c r="E9" s="444"/>
      <c r="F9" s="445"/>
      <c r="G9" s="321"/>
      <c r="H9" s="317"/>
      <c r="I9" s="291"/>
      <c r="J9" s="321"/>
      <c r="K9" s="317"/>
      <c r="L9" s="321">
        <v>1</v>
      </c>
      <c r="M9" s="317"/>
      <c r="N9" s="291"/>
      <c r="O9" s="301">
        <f>IF(B9="","",G9*5+H9*1+I9*4+J9*3+K9*3+L9*2+M9*2+N9*1)</f>
        <v>2</v>
      </c>
      <c r="P9" s="303">
        <f>IF(B9="","",IF(基本事項!$AM$8=1,Z1最低点,技術職員数Z1!G9))</f>
        <v>510</v>
      </c>
      <c r="Q9" s="33"/>
      <c r="R9" s="303">
        <f>IF(P9="","",TRUNC(0.8*P9+0.2*元請完成工事高!M9))</f>
        <v>456</v>
      </c>
      <c r="S9" s="33"/>
      <c r="T9" s="153"/>
      <c r="U9" s="162" t="s">
        <v>53</v>
      </c>
      <c r="V9" s="157">
        <f>'経営状況・自己資本額、平均利益額'!W8</f>
        <v>313</v>
      </c>
      <c r="W9" s="157">
        <f>'経営状況・自己資本額、平均利益額'!X8</f>
        <v>397</v>
      </c>
      <c r="X9" s="157">
        <f>'経営状況・自己資本額、平均利益額'!Y8</f>
        <v>456</v>
      </c>
      <c r="Y9" s="153"/>
    </row>
    <row r="10" spans="2:25" ht="18" customHeight="1" x14ac:dyDescent="0.15">
      <c r="B10" s="89" t="str">
        <f>IF(基本事項!F23=9,"*","")</f>
        <v/>
      </c>
      <c r="C10" s="85" t="str">
        <f>IF(基本事項!F22=1,"般",IF(基本事項!F22=2,"特",""))</f>
        <v/>
      </c>
      <c r="D10" s="397" t="s">
        <v>54</v>
      </c>
      <c r="E10" s="444"/>
      <c r="F10" s="445"/>
      <c r="G10" s="321"/>
      <c r="H10" s="317"/>
      <c r="I10" s="291"/>
      <c r="J10" s="321"/>
      <c r="K10" s="317"/>
      <c r="L10" s="321"/>
      <c r="M10" s="317"/>
      <c r="N10" s="291"/>
      <c r="O10" s="301" t="str">
        <f>IF(B10="","",G10*5+H10*1+I10*4+J10*3+K10*3+L10*2+M10*2+N10*1)</f>
        <v/>
      </c>
      <c r="P10" s="303" t="str">
        <f>IF(B10="","",IF(基本事項!$AM$8=1,Z1最低点,技術職員数Z1!G10))</f>
        <v/>
      </c>
      <c r="Q10" s="33"/>
      <c r="R10" s="303" t="str">
        <f>IF(P10="","",TRUNC(0.8*P10+0.2*元請完成工事高!M10))</f>
        <v/>
      </c>
      <c r="S10" s="33"/>
      <c r="T10" s="153"/>
      <c r="U10" s="162" t="s">
        <v>54</v>
      </c>
      <c r="V10" s="157" t="str">
        <f>'経営状況・自己資本額、平均利益額'!W9</f>
        <v/>
      </c>
      <c r="W10" s="157" t="str">
        <f>'経営状況・自己資本額、平均利益額'!X9</f>
        <v/>
      </c>
      <c r="X10" s="157" t="str">
        <f>'経営状況・自己資本額、平均利益額'!Y9</f>
        <v/>
      </c>
      <c r="Y10" s="153"/>
    </row>
    <row r="11" spans="2:25" ht="18" customHeight="1" x14ac:dyDescent="0.15">
      <c r="B11" s="89" t="str">
        <f>IF(基本事項!G23=9,"*","")</f>
        <v/>
      </c>
      <c r="C11" s="85" t="str">
        <f>IF(基本事項!G22=1,"般",IF(基本事項!G22=2,"特",""))</f>
        <v/>
      </c>
      <c r="D11" s="397" t="s">
        <v>56</v>
      </c>
      <c r="E11" s="444"/>
      <c r="F11" s="445"/>
      <c r="G11" s="321"/>
      <c r="H11" s="317"/>
      <c r="I11" s="291"/>
      <c r="J11" s="321"/>
      <c r="K11" s="317"/>
      <c r="L11" s="321"/>
      <c r="M11" s="317"/>
      <c r="N11" s="291"/>
      <c r="O11" s="301" t="str">
        <f>IF(B11="","",G11*5+H11*1+I11*4+J11*3+K11*3+L11*2+M11*2+N11*1)</f>
        <v/>
      </c>
      <c r="P11" s="303" t="str">
        <f>IF(B11="","",IF(基本事項!$AM$8=1,Z1最低点,技術職員数Z1!G11))</f>
        <v/>
      </c>
      <c r="Q11" s="33"/>
      <c r="R11" s="303" t="str">
        <f>IF(P11="","",TRUNC(0.8*P11+0.2*元請完成工事高!M11))</f>
        <v/>
      </c>
      <c r="S11" s="33"/>
      <c r="T11" s="153"/>
      <c r="U11" s="162" t="s">
        <v>56</v>
      </c>
      <c r="V11" s="157" t="str">
        <f>'経営状況・自己資本額、平均利益額'!W10</f>
        <v/>
      </c>
      <c r="W11" s="157" t="str">
        <f>'経営状況・自己資本額、平均利益額'!X10</f>
        <v/>
      </c>
      <c r="X11" s="157" t="str">
        <f>'経営状況・自己資本額、平均利益額'!Y10</f>
        <v/>
      </c>
      <c r="Y11" s="153"/>
    </row>
    <row r="12" spans="2:25" ht="18" customHeight="1" x14ac:dyDescent="0.15">
      <c r="B12" s="88" t="str">
        <f>IF(基本事項!H23=9,"*","")</f>
        <v>*</v>
      </c>
      <c r="C12" s="82" t="str">
        <f>IF(基本事項!H22=1,"般",IF(基本事項!H22=2,"特",""))</f>
        <v>特</v>
      </c>
      <c r="D12" s="474" t="s">
        <v>58</v>
      </c>
      <c r="E12" s="451"/>
      <c r="F12" s="452"/>
      <c r="G12" s="321">
        <v>5</v>
      </c>
      <c r="H12" s="317">
        <v>5</v>
      </c>
      <c r="I12" s="291"/>
      <c r="J12" s="321">
        <v>2</v>
      </c>
      <c r="K12" s="317">
        <v>1</v>
      </c>
      <c r="L12" s="321">
        <v>4</v>
      </c>
      <c r="M12" s="317">
        <v>1</v>
      </c>
      <c r="N12" s="291"/>
      <c r="O12" s="301">
        <f>IF(B12="","",G12*5+H12*1+I12*4+J12*3+K12*3+L12*2+M12*2+N12*1)</f>
        <v>49</v>
      </c>
      <c r="P12" s="303">
        <f>IF(B12="","",IF(基本事項!$AM$8=1,Z1最低点,技術職員数Z1!G12))</f>
        <v>510</v>
      </c>
      <c r="Q12" s="33"/>
      <c r="R12" s="303">
        <f>IF(P12="","",TRUNC(0.8*P12+0.2*元請完成工事高!M12))</f>
        <v>456</v>
      </c>
      <c r="S12" s="33"/>
      <c r="T12" s="153"/>
      <c r="U12" s="162" t="s">
        <v>58</v>
      </c>
      <c r="V12" s="157">
        <f>'経営状況・自己資本額、平均利益額'!W11</f>
        <v>314</v>
      </c>
      <c r="W12" s="157">
        <f>'経営状況・自己資本額、平均利益額'!X11</f>
        <v>400</v>
      </c>
      <c r="X12" s="157">
        <f>'経営状況・自己資本額、平均利益額'!Y11</f>
        <v>456</v>
      </c>
      <c r="Y12" s="153"/>
    </row>
    <row r="13" spans="2:25" ht="18" customHeight="1" x14ac:dyDescent="0.15">
      <c r="B13" s="88"/>
      <c r="C13" s="82"/>
      <c r="D13" s="128"/>
      <c r="E13" s="449" t="s">
        <v>59</v>
      </c>
      <c r="F13" s="450"/>
      <c r="G13" s="321"/>
      <c r="H13" s="320"/>
      <c r="I13" s="317"/>
      <c r="J13" s="321"/>
      <c r="K13" s="320"/>
      <c r="L13" s="321"/>
      <c r="M13" s="320"/>
      <c r="N13" s="94"/>
      <c r="O13" s="301"/>
      <c r="P13" s="303">
        <f>P12</f>
        <v>510</v>
      </c>
      <c r="Q13" s="33"/>
      <c r="R13" s="303">
        <f>IF(P13="","",TRUNC(0.8*P13+0.2*元請完成工事高!M13))</f>
        <v>456</v>
      </c>
      <c r="S13" s="33"/>
      <c r="T13" s="153"/>
      <c r="U13" s="162" t="s">
        <v>59</v>
      </c>
      <c r="V13" s="157">
        <f>'経営状況・自己資本額、平均利益額'!W12</f>
        <v>313</v>
      </c>
      <c r="W13" s="157">
        <f>'経営状況・自己資本額、平均利益額'!X12</f>
        <v>397</v>
      </c>
      <c r="X13" s="157">
        <f>'経営状況・自己資本額、平均利益額'!Y12</f>
        <v>456</v>
      </c>
      <c r="Y13" s="153"/>
    </row>
    <row r="14" spans="2:25" ht="18" customHeight="1" x14ac:dyDescent="0.15">
      <c r="B14" s="89" t="str">
        <f>IF(基本事項!I23=9,"*","")</f>
        <v/>
      </c>
      <c r="C14" s="85" t="str">
        <f>IF(基本事項!I22=1,"般",IF(基本事項!I22=2,"特",""))</f>
        <v/>
      </c>
      <c r="D14" s="397" t="s">
        <v>61</v>
      </c>
      <c r="E14" s="444"/>
      <c r="F14" s="445"/>
      <c r="G14" s="321"/>
      <c r="H14" s="317"/>
      <c r="I14" s="291"/>
      <c r="J14" s="321"/>
      <c r="K14" s="317"/>
      <c r="L14" s="321"/>
      <c r="M14" s="317"/>
      <c r="N14" s="291"/>
      <c r="O14" s="301" t="str">
        <f t="shared" ref="O14:O19" si="0">IF(B14="","",G14*5+H14*1+I14*4+J14*3+K14*3+L14*2+M14*2+N14*1)</f>
        <v/>
      </c>
      <c r="P14" s="303" t="str">
        <f>IF(B14="","",IF(基本事項!$AM$8=1,Z1最低点,技術職員数Z1!G14))</f>
        <v/>
      </c>
      <c r="Q14" s="33"/>
      <c r="R14" s="303" t="str">
        <f>IF(P14="","",TRUNC(0.8*P14+0.2*元請完成工事高!M14))</f>
        <v/>
      </c>
      <c r="S14" s="33"/>
      <c r="T14" s="153"/>
      <c r="U14" s="162" t="s">
        <v>61</v>
      </c>
      <c r="V14" s="157" t="str">
        <f>'経営状況・自己資本額、平均利益額'!W13</f>
        <v/>
      </c>
      <c r="W14" s="157" t="str">
        <f>'経営状況・自己資本額、平均利益額'!X13</f>
        <v/>
      </c>
      <c r="X14" s="157" t="str">
        <f>'経営状況・自己資本額、平均利益額'!Y13</f>
        <v/>
      </c>
      <c r="Y14" s="153"/>
    </row>
    <row r="15" spans="2:25" ht="18" customHeight="1" x14ac:dyDescent="0.15">
      <c r="B15" s="89" t="str">
        <f>IF(基本事項!J23=9,"*","")</f>
        <v/>
      </c>
      <c r="C15" s="85" t="str">
        <f>IF(基本事項!J22=1,"般",IF(基本事項!J22=2,"特",""))</f>
        <v/>
      </c>
      <c r="D15" s="397" t="s">
        <v>62</v>
      </c>
      <c r="E15" s="444"/>
      <c r="F15" s="445"/>
      <c r="G15" s="321"/>
      <c r="H15" s="317"/>
      <c r="I15" s="291"/>
      <c r="J15" s="321"/>
      <c r="K15" s="317"/>
      <c r="L15" s="321"/>
      <c r="M15" s="317"/>
      <c r="N15" s="291"/>
      <c r="O15" s="301" t="str">
        <f t="shared" si="0"/>
        <v/>
      </c>
      <c r="P15" s="303" t="str">
        <f>IF(B15="","",IF(基本事項!$AM$8=1,Z1最低点,技術職員数Z1!G15))</f>
        <v/>
      </c>
      <c r="Q15" s="33"/>
      <c r="R15" s="303" t="str">
        <f>IF(P15="","",TRUNC(0.8*P15+0.2*元請完成工事高!M15))</f>
        <v/>
      </c>
      <c r="S15" s="33"/>
      <c r="T15" s="153"/>
      <c r="U15" s="162" t="s">
        <v>62</v>
      </c>
      <c r="V15" s="157" t="str">
        <f>'経営状況・自己資本額、平均利益額'!W14</f>
        <v/>
      </c>
      <c r="W15" s="157" t="str">
        <f>'経営状況・自己資本額、平均利益額'!X14</f>
        <v/>
      </c>
      <c r="X15" s="157" t="str">
        <f>'経営状況・自己資本額、平均利益額'!Y14</f>
        <v/>
      </c>
      <c r="Y15" s="153"/>
    </row>
    <row r="16" spans="2:25" ht="18" customHeight="1" x14ac:dyDescent="0.15">
      <c r="B16" s="89" t="str">
        <f>IF(基本事項!K23=9,"*","")</f>
        <v/>
      </c>
      <c r="C16" s="85" t="str">
        <f>IF(基本事項!K22=1,"般",IF(基本事項!K22=2,"特",""))</f>
        <v/>
      </c>
      <c r="D16" s="397" t="s">
        <v>64</v>
      </c>
      <c r="E16" s="444"/>
      <c r="F16" s="445"/>
      <c r="G16" s="321"/>
      <c r="H16" s="317"/>
      <c r="I16" s="291"/>
      <c r="J16" s="321"/>
      <c r="K16" s="317"/>
      <c r="L16" s="321"/>
      <c r="M16" s="317"/>
      <c r="N16" s="291"/>
      <c r="O16" s="301" t="str">
        <f t="shared" si="0"/>
        <v/>
      </c>
      <c r="P16" s="303" t="str">
        <f>IF(B16="","",IF(基本事項!$AM$8=1,Z1最低点,技術職員数Z1!G16))</f>
        <v/>
      </c>
      <c r="Q16" s="33"/>
      <c r="R16" s="303" t="str">
        <f>IF(P16="","",TRUNC(0.8*P16+0.2*元請完成工事高!M16))</f>
        <v/>
      </c>
      <c r="S16" s="33"/>
      <c r="T16" s="153"/>
      <c r="U16" s="162" t="s">
        <v>64</v>
      </c>
      <c r="V16" s="157" t="str">
        <f>'経営状況・自己資本額、平均利益額'!W15</f>
        <v/>
      </c>
      <c r="W16" s="157" t="str">
        <f>'経営状況・自己資本額、平均利益額'!X15</f>
        <v/>
      </c>
      <c r="X16" s="157" t="str">
        <f>'経営状況・自己資本額、平均利益額'!Y15</f>
        <v/>
      </c>
      <c r="Y16" s="153"/>
    </row>
    <row r="17" spans="2:25" ht="18" customHeight="1" x14ac:dyDescent="0.15">
      <c r="B17" s="89" t="str">
        <f>IF(基本事項!L23=9,"*","")</f>
        <v/>
      </c>
      <c r="C17" s="85" t="str">
        <f>IF(基本事項!L22=1,"般",IF(基本事項!L22=2,"特",""))</f>
        <v/>
      </c>
      <c r="D17" s="397" t="s">
        <v>65</v>
      </c>
      <c r="E17" s="444"/>
      <c r="F17" s="445"/>
      <c r="G17" s="321"/>
      <c r="H17" s="317"/>
      <c r="I17" s="291"/>
      <c r="J17" s="321"/>
      <c r="K17" s="317"/>
      <c r="L17" s="321"/>
      <c r="M17" s="317"/>
      <c r="N17" s="291"/>
      <c r="O17" s="301" t="str">
        <f t="shared" si="0"/>
        <v/>
      </c>
      <c r="P17" s="303" t="str">
        <f>IF(B17="","",IF(基本事項!$AM$8=1,Z1最低点,技術職員数Z1!G17))</f>
        <v/>
      </c>
      <c r="Q17" s="33"/>
      <c r="R17" s="303" t="str">
        <f>IF(P17="","",TRUNC(0.8*P17+0.2*元請完成工事高!M17))</f>
        <v/>
      </c>
      <c r="S17" s="33"/>
      <c r="T17" s="153"/>
      <c r="U17" s="162" t="s">
        <v>65</v>
      </c>
      <c r="V17" s="157" t="str">
        <f>'経営状況・自己資本額、平均利益額'!W16</f>
        <v/>
      </c>
      <c r="W17" s="157" t="str">
        <f>'経営状況・自己資本額、平均利益額'!X16</f>
        <v/>
      </c>
      <c r="X17" s="157" t="str">
        <f>'経営状況・自己資本額、平均利益額'!Y16</f>
        <v/>
      </c>
      <c r="Y17" s="153"/>
    </row>
    <row r="18" spans="2:25" ht="18" customHeight="1" x14ac:dyDescent="0.15">
      <c r="B18" s="89" t="str">
        <f>IF(基本事項!M23=9,"*","")</f>
        <v/>
      </c>
      <c r="C18" s="85" t="str">
        <f>IF(基本事項!M22=1,"般",IF(基本事項!M22=2,"特",""))</f>
        <v/>
      </c>
      <c r="D18" s="475" t="s">
        <v>23</v>
      </c>
      <c r="E18" s="444"/>
      <c r="F18" s="445"/>
      <c r="G18" s="321"/>
      <c r="H18" s="317"/>
      <c r="I18" s="291"/>
      <c r="J18" s="321"/>
      <c r="K18" s="317"/>
      <c r="L18" s="321"/>
      <c r="M18" s="317"/>
      <c r="N18" s="291"/>
      <c r="O18" s="301" t="str">
        <f t="shared" si="0"/>
        <v/>
      </c>
      <c r="P18" s="303" t="str">
        <f>IF(B18="","",IF(基本事項!$AM$8=1,Z1最低点,技術職員数Z1!G18))</f>
        <v/>
      </c>
      <c r="Q18" s="33"/>
      <c r="R18" s="303" t="str">
        <f>IF(P18="","",TRUNC(0.8*P18+0.2*元請完成工事高!M18))</f>
        <v/>
      </c>
      <c r="S18" s="33"/>
      <c r="T18" s="153"/>
      <c r="U18" s="162" t="s">
        <v>396</v>
      </c>
      <c r="V18" s="157" t="str">
        <f>'経営状況・自己資本額、平均利益額'!W17</f>
        <v/>
      </c>
      <c r="W18" s="157" t="str">
        <f>'経営状況・自己資本額、平均利益額'!X17</f>
        <v/>
      </c>
      <c r="X18" s="157" t="str">
        <f>'経営状況・自己資本額、平均利益額'!Y17</f>
        <v/>
      </c>
      <c r="Y18" s="153"/>
    </row>
    <row r="19" spans="2:25" ht="18" customHeight="1" x14ac:dyDescent="0.15">
      <c r="B19" s="88" t="str">
        <f>IF(基本事項!N23=9,"*","")</f>
        <v/>
      </c>
      <c r="C19" s="82" t="str">
        <f>IF(基本事項!N22=1,"般",IF(基本事項!N22=2,"特",""))</f>
        <v/>
      </c>
      <c r="D19" s="401" t="s">
        <v>67</v>
      </c>
      <c r="E19" s="451"/>
      <c r="F19" s="452"/>
      <c r="G19" s="321"/>
      <c r="H19" s="317"/>
      <c r="I19" s="291"/>
      <c r="J19" s="321"/>
      <c r="K19" s="317"/>
      <c r="L19" s="321"/>
      <c r="M19" s="317"/>
      <c r="N19" s="291"/>
      <c r="O19" s="301" t="str">
        <f t="shared" si="0"/>
        <v/>
      </c>
      <c r="P19" s="303" t="str">
        <f>IF(B19="","",IF(基本事項!$AM$8=1,Z1最低点,技術職員数Z1!G19))</f>
        <v/>
      </c>
      <c r="Q19" s="33"/>
      <c r="R19" s="303" t="str">
        <f>IF(P19="","",TRUNC(0.8*P19+0.2*元請完成工事高!M19))</f>
        <v/>
      </c>
      <c r="S19" s="33"/>
      <c r="T19" s="153"/>
      <c r="U19" s="162" t="s">
        <v>67</v>
      </c>
      <c r="V19" s="157" t="str">
        <f>'経営状況・自己資本額、平均利益額'!W18</f>
        <v/>
      </c>
      <c r="W19" s="157" t="str">
        <f>'経営状況・自己資本額、平均利益額'!X18</f>
        <v/>
      </c>
      <c r="X19" s="157" t="str">
        <f>'経営状況・自己資本額、平均利益額'!Y18</f>
        <v/>
      </c>
      <c r="Y19" s="153"/>
    </row>
    <row r="20" spans="2:25" ht="18" customHeight="1" x14ac:dyDescent="0.15">
      <c r="B20" s="88"/>
      <c r="C20" s="82"/>
      <c r="D20" s="129"/>
      <c r="E20" s="449" t="s">
        <v>70</v>
      </c>
      <c r="F20" s="450"/>
      <c r="G20" s="321"/>
      <c r="H20" s="320"/>
      <c r="I20" s="317"/>
      <c r="J20" s="321"/>
      <c r="K20" s="320"/>
      <c r="L20" s="321"/>
      <c r="M20" s="320"/>
      <c r="N20" s="94"/>
      <c r="O20" s="301"/>
      <c r="P20" s="303" t="str">
        <f>P19</f>
        <v/>
      </c>
      <c r="Q20" s="33"/>
      <c r="R20" s="303" t="str">
        <f>IF(P20="","",TRUNC(0.8*P20+0.2*元請完成工事高!M20))</f>
        <v/>
      </c>
      <c r="S20" s="33"/>
      <c r="T20" s="153"/>
      <c r="U20" s="162" t="s">
        <v>70</v>
      </c>
      <c r="V20" s="157" t="str">
        <f>'経営状況・自己資本額、平均利益額'!W19</f>
        <v/>
      </c>
      <c r="W20" s="157" t="str">
        <f>'経営状況・自己資本額、平均利益額'!X19</f>
        <v/>
      </c>
      <c r="X20" s="157" t="str">
        <f>'経営状況・自己資本額、平均利益額'!Y19</f>
        <v/>
      </c>
      <c r="Y20" s="153"/>
    </row>
    <row r="21" spans="2:25" ht="18" customHeight="1" x14ac:dyDescent="0.15">
      <c r="B21" s="89" t="str">
        <f>IF(基本事項!O23=9,"*","")</f>
        <v/>
      </c>
      <c r="C21" s="85" t="str">
        <f>IF(基本事項!O22=1,"般",IF(基本事項!O22=2,"特",""))</f>
        <v/>
      </c>
      <c r="D21" s="397" t="s">
        <v>71</v>
      </c>
      <c r="E21" s="444"/>
      <c r="F21" s="445"/>
      <c r="G21" s="321"/>
      <c r="H21" s="317"/>
      <c r="I21" s="291"/>
      <c r="J21" s="321"/>
      <c r="K21" s="317"/>
      <c r="L21" s="321"/>
      <c r="M21" s="317"/>
      <c r="N21" s="291"/>
      <c r="O21" s="301" t="str">
        <f t="shared" ref="O21:O38" si="1">IF(B21="","",G21*5+H21*1+I21*4+J21*3+K21*3+L21*2+M21*2+N21*1)</f>
        <v/>
      </c>
      <c r="P21" s="303" t="str">
        <f>IF(B21="","",IF(基本事項!$AM$8=1,Z1最低点,技術職員数Z1!G21))</f>
        <v/>
      </c>
      <c r="Q21" s="33"/>
      <c r="R21" s="303" t="str">
        <f>IF(P21="","",TRUNC(0.8*P21+0.2*元請完成工事高!M21))</f>
        <v/>
      </c>
      <c r="S21" s="33"/>
      <c r="T21" s="153"/>
      <c r="U21" s="162" t="s">
        <v>71</v>
      </c>
      <c r="V21" s="157" t="str">
        <f>'経営状況・自己資本額、平均利益額'!W20</f>
        <v/>
      </c>
      <c r="W21" s="157" t="str">
        <f>'経営状況・自己資本額、平均利益額'!X20</f>
        <v/>
      </c>
      <c r="X21" s="157" t="str">
        <f>'経営状況・自己資本額、平均利益額'!Y20</f>
        <v/>
      </c>
      <c r="Y21" s="153"/>
    </row>
    <row r="22" spans="2:25" ht="18" customHeight="1" x14ac:dyDescent="0.15">
      <c r="B22" s="89" t="str">
        <f>IF(基本事項!P23=9,"*","")</f>
        <v/>
      </c>
      <c r="C22" s="85" t="str">
        <f>IF(基本事項!P22=1,"般",IF(基本事項!P22=2,"特",""))</f>
        <v/>
      </c>
      <c r="D22" s="397" t="s">
        <v>549</v>
      </c>
      <c r="E22" s="444"/>
      <c r="F22" s="445"/>
      <c r="G22" s="321"/>
      <c r="H22" s="317"/>
      <c r="I22" s="291"/>
      <c r="J22" s="321"/>
      <c r="K22" s="317"/>
      <c r="L22" s="321"/>
      <c r="M22" s="317"/>
      <c r="N22" s="291"/>
      <c r="O22" s="301" t="str">
        <f t="shared" si="1"/>
        <v/>
      </c>
      <c r="P22" s="303" t="str">
        <f>IF(B22="","",IF(基本事項!$AM$8=1,Z1最低点,技術職員数Z1!G22))</f>
        <v/>
      </c>
      <c r="Q22" s="33"/>
      <c r="R22" s="303" t="str">
        <f>IF(P22="","",TRUNC(0.8*P22+0.2*元請完成工事高!M22))</f>
        <v/>
      </c>
      <c r="S22" s="33"/>
      <c r="T22" s="153"/>
      <c r="U22" s="144" t="s">
        <v>549</v>
      </c>
      <c r="V22" s="157" t="str">
        <f>'経営状況・自己資本額、平均利益額'!W21</f>
        <v/>
      </c>
      <c r="W22" s="157" t="str">
        <f>'経営状況・自己資本額、平均利益額'!X21</f>
        <v/>
      </c>
      <c r="X22" s="157" t="str">
        <f>'経営状況・自己資本額、平均利益額'!Y21</f>
        <v/>
      </c>
      <c r="Y22" s="153"/>
    </row>
    <row r="23" spans="2:25" ht="18" customHeight="1" x14ac:dyDescent="0.15">
      <c r="B23" s="89" t="str">
        <f>IF(基本事項!Q23=9,"*","")</f>
        <v/>
      </c>
      <c r="C23" s="85" t="str">
        <f>IF(基本事項!Q22=1,"般",IF(基本事項!Q22=2,"特",""))</f>
        <v/>
      </c>
      <c r="D23" s="397" t="s">
        <v>26</v>
      </c>
      <c r="E23" s="444"/>
      <c r="F23" s="445"/>
      <c r="G23" s="321"/>
      <c r="H23" s="317"/>
      <c r="I23" s="291"/>
      <c r="J23" s="321"/>
      <c r="K23" s="317"/>
      <c r="L23" s="321"/>
      <c r="M23" s="317"/>
      <c r="N23" s="291"/>
      <c r="O23" s="301" t="str">
        <f t="shared" si="1"/>
        <v/>
      </c>
      <c r="P23" s="303" t="str">
        <f>IF(B23="","",IF(基本事項!$AM$8=1,Z1最低点,技術職員数Z1!G23))</f>
        <v/>
      </c>
      <c r="Q23" s="33"/>
      <c r="R23" s="303" t="str">
        <f>IF(P23="","",TRUNC(0.8*P23+0.2*元請完成工事高!M23))</f>
        <v/>
      </c>
      <c r="S23" s="33"/>
      <c r="T23" s="153"/>
      <c r="U23" s="162" t="s">
        <v>397</v>
      </c>
      <c r="V23" s="157" t="str">
        <f>'経営状況・自己資本額、平均利益額'!W22</f>
        <v/>
      </c>
      <c r="W23" s="157" t="str">
        <f>'経営状況・自己資本額、平均利益額'!X22</f>
        <v/>
      </c>
      <c r="X23" s="157" t="str">
        <f>'経営状況・自己資本額、平均利益額'!Y22</f>
        <v/>
      </c>
      <c r="Y23" s="153"/>
    </row>
    <row r="24" spans="2:25" ht="18" customHeight="1" x14ac:dyDescent="0.15">
      <c r="B24" s="89" t="str">
        <f>IF(基本事項!R23=9,"*","")</f>
        <v/>
      </c>
      <c r="C24" s="85" t="str">
        <f>IF(基本事項!R22=1,"般",IF(基本事項!R22=2,"特",""))</f>
        <v/>
      </c>
      <c r="D24" s="397" t="s">
        <v>72</v>
      </c>
      <c r="E24" s="444"/>
      <c r="F24" s="445"/>
      <c r="G24" s="321"/>
      <c r="H24" s="317"/>
      <c r="I24" s="291"/>
      <c r="J24" s="321"/>
      <c r="K24" s="317"/>
      <c r="L24" s="321"/>
      <c r="M24" s="317"/>
      <c r="N24" s="291"/>
      <c r="O24" s="301" t="str">
        <f t="shared" si="1"/>
        <v/>
      </c>
      <c r="P24" s="303" t="str">
        <f>IF(B24="","",IF(基本事項!$AM$8=1,Z1最低点,技術職員数Z1!G24))</f>
        <v/>
      </c>
      <c r="Q24" s="33"/>
      <c r="R24" s="303" t="str">
        <f>IF(P24="","",TRUNC(0.8*P24+0.2*元請完成工事高!M24))</f>
        <v/>
      </c>
      <c r="S24" s="33"/>
      <c r="T24" s="153"/>
      <c r="U24" s="162" t="s">
        <v>72</v>
      </c>
      <c r="V24" s="157" t="str">
        <f>'経営状況・自己資本額、平均利益額'!W23</f>
        <v/>
      </c>
      <c r="W24" s="157" t="str">
        <f>'経営状況・自己資本額、平均利益額'!X23</f>
        <v/>
      </c>
      <c r="X24" s="157" t="str">
        <f>'経営状況・自己資本額、平均利益額'!Y23</f>
        <v/>
      </c>
      <c r="Y24" s="153"/>
    </row>
    <row r="25" spans="2:25" ht="18" customHeight="1" x14ac:dyDescent="0.15">
      <c r="B25" s="89" t="str">
        <f>IF(基本事項!S23=9,"*","")</f>
        <v/>
      </c>
      <c r="C25" s="85" t="str">
        <f>IF(基本事項!S22=1,"般",IF(基本事項!S22=2,"特",""))</f>
        <v/>
      </c>
      <c r="D25" s="397" t="s">
        <v>25</v>
      </c>
      <c r="E25" s="444"/>
      <c r="F25" s="445"/>
      <c r="G25" s="321"/>
      <c r="H25" s="317"/>
      <c r="I25" s="291"/>
      <c r="J25" s="321"/>
      <c r="K25" s="317"/>
      <c r="L25" s="321"/>
      <c r="M25" s="317"/>
      <c r="N25" s="291"/>
      <c r="O25" s="301" t="str">
        <f t="shared" si="1"/>
        <v/>
      </c>
      <c r="P25" s="303" t="str">
        <f>IF(B25="","",IF(基本事項!$AM$8=1,Z1最低点,技術職員数Z1!G25))</f>
        <v/>
      </c>
      <c r="Q25" s="33"/>
      <c r="R25" s="303" t="str">
        <f>IF(P25="","",TRUNC(0.8*P25+0.2*元請完成工事高!M25))</f>
        <v/>
      </c>
      <c r="S25" s="33"/>
      <c r="T25" s="153"/>
      <c r="U25" s="162" t="s">
        <v>398</v>
      </c>
      <c r="V25" s="157" t="str">
        <f>'経営状況・自己資本額、平均利益額'!W24</f>
        <v/>
      </c>
      <c r="W25" s="157" t="str">
        <f>'経営状況・自己資本額、平均利益額'!X24</f>
        <v/>
      </c>
      <c r="X25" s="157" t="str">
        <f>'経営状況・自己資本額、平均利益額'!Y24</f>
        <v/>
      </c>
      <c r="Y25" s="153"/>
    </row>
    <row r="26" spans="2:25" ht="18" customHeight="1" x14ac:dyDescent="0.15">
      <c r="B26" s="89" t="str">
        <f>IF(基本事項!T23=9,"*","")</f>
        <v/>
      </c>
      <c r="C26" s="85" t="str">
        <f>IF(基本事項!T22=1,"般",IF(基本事項!T22=2,"特",""))</f>
        <v/>
      </c>
      <c r="D26" s="397" t="s">
        <v>73</v>
      </c>
      <c r="E26" s="444"/>
      <c r="F26" s="445"/>
      <c r="G26" s="321"/>
      <c r="H26" s="317"/>
      <c r="I26" s="291"/>
      <c r="J26" s="321"/>
      <c r="K26" s="317"/>
      <c r="L26" s="321"/>
      <c r="M26" s="317"/>
      <c r="N26" s="291"/>
      <c r="O26" s="301" t="str">
        <f t="shared" si="1"/>
        <v/>
      </c>
      <c r="P26" s="303" t="str">
        <f>IF(B26="","",IF(基本事項!$AM$8=1,Z1最低点,技術職員数Z1!G26))</f>
        <v/>
      </c>
      <c r="Q26" s="33"/>
      <c r="R26" s="303" t="str">
        <f>IF(P26="","",TRUNC(0.8*P26+0.2*元請完成工事高!M26))</f>
        <v/>
      </c>
      <c r="S26" s="33"/>
      <c r="T26" s="153"/>
      <c r="U26" s="162" t="s">
        <v>73</v>
      </c>
      <c r="V26" s="157" t="str">
        <f>'経営状況・自己資本額、平均利益額'!W25</f>
        <v/>
      </c>
      <c r="W26" s="157" t="str">
        <f>'経営状況・自己資本額、平均利益額'!X25</f>
        <v/>
      </c>
      <c r="X26" s="157" t="str">
        <f>'経営状況・自己資本額、平均利益額'!Y25</f>
        <v/>
      </c>
      <c r="Y26" s="153"/>
    </row>
    <row r="27" spans="2:25" ht="18" customHeight="1" x14ac:dyDescent="0.15">
      <c r="B27" s="89" t="str">
        <f>IF(基本事項!U23=9,"*","")</f>
        <v/>
      </c>
      <c r="C27" s="85" t="str">
        <f>IF(基本事項!U22=1,"般",IF(基本事項!U22=2,"特",""))</f>
        <v/>
      </c>
      <c r="D27" s="397" t="s">
        <v>76</v>
      </c>
      <c r="E27" s="444"/>
      <c r="F27" s="445"/>
      <c r="G27" s="321"/>
      <c r="H27" s="317"/>
      <c r="I27" s="291"/>
      <c r="J27" s="321"/>
      <c r="K27" s="317"/>
      <c r="L27" s="321"/>
      <c r="M27" s="317"/>
      <c r="N27" s="291"/>
      <c r="O27" s="301" t="str">
        <f t="shared" si="1"/>
        <v/>
      </c>
      <c r="P27" s="303" t="str">
        <f>IF(B27="","",IF(基本事項!$AM$8=1,Z1最低点,技術職員数Z1!G27))</f>
        <v/>
      </c>
      <c r="Q27" s="33"/>
      <c r="R27" s="303" t="str">
        <f>IF(P27="","",TRUNC(0.8*P27+0.2*元請完成工事高!M27))</f>
        <v/>
      </c>
      <c r="S27" s="33"/>
      <c r="T27" s="153"/>
      <c r="U27" s="162" t="s">
        <v>76</v>
      </c>
      <c r="V27" s="157" t="str">
        <f>'経営状況・自己資本額、平均利益額'!W26</f>
        <v/>
      </c>
      <c r="W27" s="157" t="str">
        <f>'経営状況・自己資本額、平均利益額'!X26</f>
        <v/>
      </c>
      <c r="X27" s="157" t="str">
        <f>'経営状況・自己資本額、平均利益額'!Y26</f>
        <v/>
      </c>
      <c r="Y27" s="153"/>
    </row>
    <row r="28" spans="2:25" ht="18" customHeight="1" x14ac:dyDescent="0.15">
      <c r="B28" s="89" t="str">
        <f>IF(基本事項!V23=9,"*","")</f>
        <v/>
      </c>
      <c r="C28" s="85" t="str">
        <f>IF(基本事項!V22=1,"般",IF(基本事項!V22=2,"特",""))</f>
        <v/>
      </c>
      <c r="D28" s="397" t="s">
        <v>77</v>
      </c>
      <c r="E28" s="444"/>
      <c r="F28" s="445"/>
      <c r="G28" s="321"/>
      <c r="H28" s="317"/>
      <c r="I28" s="291"/>
      <c r="J28" s="321"/>
      <c r="K28" s="317"/>
      <c r="L28" s="321"/>
      <c r="M28" s="317"/>
      <c r="N28" s="291"/>
      <c r="O28" s="301" t="str">
        <f t="shared" si="1"/>
        <v/>
      </c>
      <c r="P28" s="303" t="str">
        <f>IF(B28="","",IF(基本事項!$AM$8=1,Z1最低点,技術職員数Z1!G28))</f>
        <v/>
      </c>
      <c r="Q28" s="33"/>
      <c r="R28" s="303" t="str">
        <f>IF(P28="","",TRUNC(0.8*P28+0.2*元請完成工事高!M28))</f>
        <v/>
      </c>
      <c r="S28" s="33"/>
      <c r="T28" s="153"/>
      <c r="U28" s="163" t="s">
        <v>77</v>
      </c>
      <c r="V28" s="157" t="str">
        <f>'経営状況・自己資本額、平均利益額'!W27</f>
        <v/>
      </c>
      <c r="W28" s="157" t="str">
        <f>'経営状況・自己資本額、平均利益額'!X27</f>
        <v/>
      </c>
      <c r="X28" s="157" t="str">
        <f>'経営状況・自己資本額、平均利益額'!Y27</f>
        <v/>
      </c>
      <c r="Y28" s="153"/>
    </row>
    <row r="29" spans="2:25" ht="18" customHeight="1" x14ac:dyDescent="0.15">
      <c r="B29" s="89" t="str">
        <f>IF(基本事項!W23=9,"*","")</f>
        <v/>
      </c>
      <c r="C29" s="85" t="str">
        <f>IF(基本事項!W22=1,"般",IF(基本事項!W22=2,"特",""))</f>
        <v/>
      </c>
      <c r="D29" s="397" t="s">
        <v>78</v>
      </c>
      <c r="E29" s="444"/>
      <c r="F29" s="445"/>
      <c r="G29" s="321"/>
      <c r="H29" s="317"/>
      <c r="I29" s="291"/>
      <c r="J29" s="321"/>
      <c r="K29" s="317"/>
      <c r="L29" s="321"/>
      <c r="M29" s="317"/>
      <c r="N29" s="291"/>
      <c r="O29" s="301" t="str">
        <f t="shared" si="1"/>
        <v/>
      </c>
      <c r="P29" s="303" t="str">
        <f>IF(B29="","",IF(基本事項!$AM$8=1,Z1最低点,技術職員数Z1!G29))</f>
        <v/>
      </c>
      <c r="Q29" s="33"/>
      <c r="R29" s="303" t="str">
        <f>IF(P29="","",TRUNC(0.8*P29+0.2*元請完成工事高!M29))</f>
        <v/>
      </c>
      <c r="S29" s="33"/>
      <c r="T29" s="153"/>
      <c r="U29" s="163" t="s">
        <v>78</v>
      </c>
      <c r="V29" s="157" t="str">
        <f>'経営状況・自己資本額、平均利益額'!W28</f>
        <v/>
      </c>
      <c r="W29" s="157" t="str">
        <f>'経営状況・自己資本額、平均利益額'!X28</f>
        <v/>
      </c>
      <c r="X29" s="157" t="str">
        <f>'経営状況・自己資本額、平均利益額'!Y28</f>
        <v/>
      </c>
      <c r="Y29" s="153"/>
    </row>
    <row r="30" spans="2:25" ht="18" customHeight="1" x14ac:dyDescent="0.15">
      <c r="B30" s="89" t="str">
        <f>IF(基本事項!X23=9,"*","")</f>
        <v/>
      </c>
      <c r="C30" s="85" t="str">
        <f>IF(基本事項!X22=1,"般",IF(基本事項!X22=2,"特",""))</f>
        <v/>
      </c>
      <c r="D30" s="397" t="s">
        <v>79</v>
      </c>
      <c r="E30" s="444"/>
      <c r="F30" s="445"/>
      <c r="G30" s="321"/>
      <c r="H30" s="317"/>
      <c r="I30" s="291"/>
      <c r="J30" s="321"/>
      <c r="K30" s="317"/>
      <c r="L30" s="321"/>
      <c r="M30" s="317"/>
      <c r="N30" s="291"/>
      <c r="O30" s="301" t="str">
        <f t="shared" si="1"/>
        <v/>
      </c>
      <c r="P30" s="303" t="str">
        <f>IF(B30="","",IF(基本事項!$AM$8=1,Z1最低点,技術職員数Z1!G30))</f>
        <v/>
      </c>
      <c r="Q30" s="33"/>
      <c r="R30" s="303" t="str">
        <f>IF(P30="","",TRUNC(0.8*P30+0.2*元請完成工事高!M30))</f>
        <v/>
      </c>
      <c r="S30" s="33"/>
      <c r="T30" s="153"/>
      <c r="U30" s="163" t="s">
        <v>79</v>
      </c>
      <c r="V30" s="157" t="str">
        <f>'経営状況・自己資本額、平均利益額'!W29</f>
        <v/>
      </c>
      <c r="W30" s="157" t="str">
        <f>'経営状況・自己資本額、平均利益額'!X29</f>
        <v/>
      </c>
      <c r="X30" s="157" t="str">
        <f>'経営状況・自己資本額、平均利益額'!Y29</f>
        <v/>
      </c>
      <c r="Y30" s="153"/>
    </row>
    <row r="31" spans="2:25" ht="18" customHeight="1" x14ac:dyDescent="0.15">
      <c r="B31" s="89" t="str">
        <f>IF(基本事項!Y23=9,"*","")</f>
        <v/>
      </c>
      <c r="C31" s="85" t="str">
        <f>IF(基本事項!Y22=1,"般",IF(基本事項!Y22=2,"特",""))</f>
        <v/>
      </c>
      <c r="D31" s="397" t="s">
        <v>80</v>
      </c>
      <c r="E31" s="444"/>
      <c r="F31" s="445"/>
      <c r="G31" s="321"/>
      <c r="H31" s="317"/>
      <c r="I31" s="291"/>
      <c r="J31" s="321"/>
      <c r="K31" s="317"/>
      <c r="L31" s="321"/>
      <c r="M31" s="317"/>
      <c r="N31" s="291"/>
      <c r="O31" s="301" t="str">
        <f t="shared" si="1"/>
        <v/>
      </c>
      <c r="P31" s="303" t="str">
        <f>IF(B31="","",IF(基本事項!$AM$8=1,Z1最低点,技術職員数Z1!G31))</f>
        <v/>
      </c>
      <c r="Q31" s="33"/>
      <c r="R31" s="303" t="str">
        <f>IF(P31="","",TRUNC(0.8*P31+0.2*元請完成工事高!M31))</f>
        <v/>
      </c>
      <c r="S31" s="33"/>
      <c r="T31" s="153"/>
      <c r="U31" s="163" t="s">
        <v>80</v>
      </c>
      <c r="V31" s="157" t="str">
        <f>'経営状況・自己資本額、平均利益額'!W30</f>
        <v/>
      </c>
      <c r="W31" s="157" t="str">
        <f>'経営状況・自己資本額、平均利益額'!X30</f>
        <v/>
      </c>
      <c r="X31" s="157" t="str">
        <f>'経営状況・自己資本額、平均利益額'!Y30</f>
        <v/>
      </c>
      <c r="Y31" s="153"/>
    </row>
    <row r="32" spans="2:25" ht="18" customHeight="1" x14ac:dyDescent="0.15">
      <c r="B32" s="89" t="str">
        <f>IF(基本事項!Z23=9,"*","")</f>
        <v/>
      </c>
      <c r="C32" s="85" t="str">
        <f>IF(基本事項!Z22=1,"般",IF(基本事項!Z22=2,"特",""))</f>
        <v/>
      </c>
      <c r="D32" s="397" t="s">
        <v>1</v>
      </c>
      <c r="E32" s="444"/>
      <c r="F32" s="445"/>
      <c r="G32" s="321"/>
      <c r="H32" s="317"/>
      <c r="I32" s="291"/>
      <c r="J32" s="321"/>
      <c r="K32" s="317"/>
      <c r="L32" s="321"/>
      <c r="M32" s="317"/>
      <c r="N32" s="291"/>
      <c r="O32" s="301" t="str">
        <f t="shared" si="1"/>
        <v/>
      </c>
      <c r="P32" s="303" t="str">
        <f>IF(B32="","",IF(基本事項!$AM$8=1,Z1最低点,技術職員数Z1!G32))</f>
        <v/>
      </c>
      <c r="Q32" s="33"/>
      <c r="R32" s="303" t="str">
        <f>IF(P32="","",TRUNC(0.8*P32+0.2*元請完成工事高!M32))</f>
        <v/>
      </c>
      <c r="S32" s="33"/>
      <c r="T32" s="153"/>
      <c r="U32" s="163" t="s">
        <v>1</v>
      </c>
      <c r="V32" s="157" t="str">
        <f>'経営状況・自己資本額、平均利益額'!W31</f>
        <v/>
      </c>
      <c r="W32" s="157" t="str">
        <f>'経営状況・自己資本額、平均利益額'!X31</f>
        <v/>
      </c>
      <c r="X32" s="157" t="str">
        <f>'経営状況・自己資本額、平均利益額'!Y31</f>
        <v/>
      </c>
      <c r="Y32" s="153"/>
    </row>
    <row r="33" spans="2:25" ht="18" customHeight="1" x14ac:dyDescent="0.15">
      <c r="B33" s="89" t="str">
        <f>IF(基本事項!AA23=9,"*","")</f>
        <v/>
      </c>
      <c r="C33" s="85" t="str">
        <f>IF(基本事項!AA22=1,"般",IF(基本事項!AA22=2,"特",""))</f>
        <v/>
      </c>
      <c r="D33" s="397" t="s">
        <v>3</v>
      </c>
      <c r="E33" s="444"/>
      <c r="F33" s="445"/>
      <c r="G33" s="321"/>
      <c r="H33" s="317"/>
      <c r="I33" s="291"/>
      <c r="J33" s="321"/>
      <c r="K33" s="317"/>
      <c r="L33" s="321"/>
      <c r="M33" s="317"/>
      <c r="N33" s="291"/>
      <c r="O33" s="301" t="str">
        <f t="shared" si="1"/>
        <v/>
      </c>
      <c r="P33" s="303" t="str">
        <f>IF(B33="","",IF(基本事項!$AM$8=1,Z1最低点,技術職員数Z1!G33))</f>
        <v/>
      </c>
      <c r="Q33" s="33"/>
      <c r="R33" s="303" t="str">
        <f>IF(P33="","",TRUNC(0.8*P33+0.2*元請完成工事高!M33))</f>
        <v/>
      </c>
      <c r="S33" s="33"/>
      <c r="T33" s="153"/>
      <c r="U33" s="164" t="s">
        <v>3</v>
      </c>
      <c r="V33" s="157" t="str">
        <f>'経営状況・自己資本額、平均利益額'!W32</f>
        <v/>
      </c>
      <c r="W33" s="157" t="str">
        <f>'経営状況・自己資本額、平均利益額'!X32</f>
        <v/>
      </c>
      <c r="X33" s="157" t="str">
        <f>'経営状況・自己資本額、平均利益額'!Y32</f>
        <v/>
      </c>
      <c r="Y33" s="153"/>
    </row>
    <row r="34" spans="2:25" ht="18" customHeight="1" x14ac:dyDescent="0.15">
      <c r="B34" s="89" t="str">
        <f>IF(基本事項!AB23=9,"*","")</f>
        <v/>
      </c>
      <c r="C34" s="85" t="str">
        <f>IF(基本事項!AB22=1,"般",IF(基本事項!AB22=2,"特",""))</f>
        <v/>
      </c>
      <c r="D34" s="397" t="s">
        <v>5</v>
      </c>
      <c r="E34" s="444"/>
      <c r="F34" s="445"/>
      <c r="G34" s="321"/>
      <c r="H34" s="317"/>
      <c r="I34" s="291"/>
      <c r="J34" s="321"/>
      <c r="K34" s="317"/>
      <c r="L34" s="321"/>
      <c r="M34" s="317"/>
      <c r="N34" s="291"/>
      <c r="O34" s="301" t="str">
        <f t="shared" si="1"/>
        <v/>
      </c>
      <c r="P34" s="303" t="str">
        <f>IF(B34="","",IF(基本事項!$AM$8=1,Z1最低点,技術職員数Z1!G34))</f>
        <v/>
      </c>
      <c r="Q34" s="33"/>
      <c r="R34" s="303" t="str">
        <f>IF(P34="","",TRUNC(0.8*P34+0.2*元請完成工事高!M34))</f>
        <v/>
      </c>
      <c r="S34" s="33"/>
      <c r="T34" s="153"/>
      <c r="U34" s="163" t="s">
        <v>5</v>
      </c>
      <c r="V34" s="157" t="str">
        <f>'経営状況・自己資本額、平均利益額'!W33</f>
        <v/>
      </c>
      <c r="W34" s="157" t="str">
        <f>'経営状況・自己資本額、平均利益額'!X33</f>
        <v/>
      </c>
      <c r="X34" s="157" t="str">
        <f>'経営状況・自己資本額、平均利益額'!Y33</f>
        <v/>
      </c>
      <c r="Y34" s="153"/>
    </row>
    <row r="35" spans="2:25" ht="18" customHeight="1" x14ac:dyDescent="0.15">
      <c r="B35" s="89" t="str">
        <f>IF(基本事項!AC23=9,"*","")</f>
        <v/>
      </c>
      <c r="C35" s="85" t="str">
        <f>IF(基本事項!AC22=1,"般",IF(基本事項!AC22=2,"特",""))</f>
        <v/>
      </c>
      <c r="D35" s="397" t="s">
        <v>7</v>
      </c>
      <c r="E35" s="444"/>
      <c r="F35" s="445"/>
      <c r="G35" s="321"/>
      <c r="H35" s="317"/>
      <c r="I35" s="291"/>
      <c r="J35" s="321"/>
      <c r="K35" s="317"/>
      <c r="L35" s="321"/>
      <c r="M35" s="317"/>
      <c r="N35" s="291"/>
      <c r="O35" s="301" t="str">
        <f t="shared" si="1"/>
        <v/>
      </c>
      <c r="P35" s="303" t="str">
        <f>IF(B35="","",IF(基本事項!$AM$8=1,Z1最低点,技術職員数Z1!G35))</f>
        <v/>
      </c>
      <c r="Q35" s="33"/>
      <c r="R35" s="303" t="str">
        <f>IF(P35="","",TRUNC(0.8*P35+0.2*元請完成工事高!M35))</f>
        <v/>
      </c>
      <c r="S35" s="33"/>
      <c r="T35" s="153"/>
      <c r="U35" s="163" t="s">
        <v>7</v>
      </c>
      <c r="V35" s="157" t="str">
        <f>'経営状況・自己資本額、平均利益額'!W34</f>
        <v/>
      </c>
      <c r="W35" s="157" t="str">
        <f>'経営状況・自己資本額、平均利益額'!X34</f>
        <v/>
      </c>
      <c r="X35" s="157" t="str">
        <f>'経営状況・自己資本額、平均利益額'!Y34</f>
        <v/>
      </c>
      <c r="Y35" s="153"/>
    </row>
    <row r="36" spans="2:25" ht="18" customHeight="1" x14ac:dyDescent="0.15">
      <c r="B36" s="89" t="str">
        <f>IF(基本事項!AD23=9,"*","")</f>
        <v/>
      </c>
      <c r="C36" s="85" t="str">
        <f>IF(基本事項!AD22=1,"般",IF(基本事項!AD22=2,"特",""))</f>
        <v/>
      </c>
      <c r="D36" s="397" t="s">
        <v>9</v>
      </c>
      <c r="E36" s="444"/>
      <c r="F36" s="445"/>
      <c r="G36" s="321"/>
      <c r="H36" s="317"/>
      <c r="I36" s="291"/>
      <c r="J36" s="321"/>
      <c r="K36" s="317"/>
      <c r="L36" s="321"/>
      <c r="M36" s="317"/>
      <c r="N36" s="291"/>
      <c r="O36" s="301" t="str">
        <f t="shared" si="1"/>
        <v/>
      </c>
      <c r="P36" s="303" t="str">
        <f>IF(B36="","",IF(基本事項!$AM$8=1,Z1最低点,技術職員数Z1!G36))</f>
        <v/>
      </c>
      <c r="Q36" s="33"/>
      <c r="R36" s="303" t="str">
        <f>IF(P36="","",TRUNC(0.8*P36+0.2*元請完成工事高!M36))</f>
        <v/>
      </c>
      <c r="S36" s="33"/>
      <c r="T36" s="153"/>
      <c r="U36" s="163" t="s">
        <v>9</v>
      </c>
      <c r="V36" s="157" t="str">
        <f>'経営状況・自己資本額、平均利益額'!W35</f>
        <v/>
      </c>
      <c r="W36" s="157" t="str">
        <f>'経営状況・自己資本額、平均利益額'!X35</f>
        <v/>
      </c>
      <c r="X36" s="157" t="str">
        <f>'経営状況・自己資本額、平均利益額'!Y35</f>
        <v/>
      </c>
      <c r="Y36" s="153"/>
    </row>
    <row r="37" spans="2:25" ht="18" customHeight="1" x14ac:dyDescent="0.15">
      <c r="B37" s="89" t="str">
        <f>IF(基本事項!AE23=9,"*","")</f>
        <v/>
      </c>
      <c r="C37" s="85" t="str">
        <f>IF(基本事項!AE22=1,"般",IF(基本事項!AE22=2,"特",""))</f>
        <v/>
      </c>
      <c r="D37" s="397" t="s">
        <v>12</v>
      </c>
      <c r="E37" s="444"/>
      <c r="F37" s="445"/>
      <c r="G37" s="321"/>
      <c r="H37" s="317"/>
      <c r="I37" s="291"/>
      <c r="J37" s="321"/>
      <c r="K37" s="317"/>
      <c r="L37" s="321"/>
      <c r="M37" s="317"/>
      <c r="N37" s="291"/>
      <c r="O37" s="301" t="str">
        <f t="shared" si="1"/>
        <v/>
      </c>
      <c r="P37" s="303" t="str">
        <f>IF(B37="","",IF(基本事項!$AM$8=1,Z1最低点,技術職員数Z1!G37))</f>
        <v/>
      </c>
      <c r="Q37" s="33"/>
      <c r="R37" s="303" t="str">
        <f>IF(P37="","",TRUNC(0.8*P37+0.2*元請完成工事高!M37))</f>
        <v/>
      </c>
      <c r="S37" s="33"/>
      <c r="T37" s="153"/>
      <c r="U37" s="163" t="s">
        <v>12</v>
      </c>
      <c r="V37" s="157" t="str">
        <f>'経営状況・自己資本額、平均利益額'!W36</f>
        <v/>
      </c>
      <c r="W37" s="157" t="str">
        <f>'経営状況・自己資本額、平均利益額'!X36</f>
        <v/>
      </c>
      <c r="X37" s="157" t="str">
        <f>'経営状況・自己資本額、平均利益額'!Y36</f>
        <v/>
      </c>
      <c r="Y37" s="153"/>
    </row>
    <row r="38" spans="2:25" ht="18" customHeight="1" x14ac:dyDescent="0.15">
      <c r="B38" s="84" t="str">
        <f>IF(基本事項!AF23=9,"*","")</f>
        <v/>
      </c>
      <c r="C38" s="85" t="str">
        <f>IF(基本事項!AF22=1,"般",IF(基本事項!AF22=2,"特",""))</f>
        <v/>
      </c>
      <c r="D38" s="397" t="s">
        <v>533</v>
      </c>
      <c r="E38" s="444"/>
      <c r="F38" s="445"/>
      <c r="G38" s="321"/>
      <c r="H38" s="317"/>
      <c r="I38" s="291"/>
      <c r="J38" s="321"/>
      <c r="K38" s="317"/>
      <c r="L38" s="321"/>
      <c r="M38" s="317"/>
      <c r="N38" s="291"/>
      <c r="O38" s="301" t="str">
        <f t="shared" si="1"/>
        <v/>
      </c>
      <c r="P38" s="303" t="str">
        <f>IF(B38="","",IF(基本事項!$AM$8=1,Z1最低点,技術職員数Z1!G38))</f>
        <v/>
      </c>
      <c r="Q38" s="33"/>
      <c r="R38" s="303" t="str">
        <f>IF(P38="","",TRUNC(0.8*P38+0.2*元請完成工事高!M38))</f>
        <v/>
      </c>
      <c r="S38" s="33"/>
      <c r="T38" s="153"/>
      <c r="U38" s="146" t="s">
        <v>533</v>
      </c>
      <c r="V38" s="157" t="str">
        <f>'経営状況・自己資本額、平均利益額'!W37</f>
        <v/>
      </c>
      <c r="W38" s="157" t="str">
        <f>'経営状況・自己資本額、平均利益額'!X37</f>
        <v/>
      </c>
      <c r="X38" s="157" t="str">
        <f>'経営状況・自己資本額、平均利益額'!Y37</f>
        <v/>
      </c>
      <c r="Y38" s="153"/>
    </row>
    <row r="39" spans="2:25" ht="18" customHeight="1" x14ac:dyDescent="0.15">
      <c r="B39" s="89"/>
      <c r="C39" s="85"/>
      <c r="D39" s="397" t="s">
        <v>47</v>
      </c>
      <c r="E39" s="444"/>
      <c r="F39" s="445"/>
      <c r="G39" s="292"/>
      <c r="H39" s="296"/>
      <c r="I39" s="318"/>
      <c r="J39" s="292"/>
      <c r="K39" s="296"/>
      <c r="L39" s="292"/>
      <c r="M39" s="296"/>
      <c r="N39" s="271"/>
      <c r="O39" s="306"/>
      <c r="P39" s="304"/>
      <c r="Q39" s="33"/>
      <c r="R39" s="304"/>
      <c r="S39" s="33"/>
      <c r="T39" s="153"/>
      <c r="U39" s="153"/>
      <c r="V39" s="153"/>
      <c r="W39" s="153"/>
      <c r="X39" s="153"/>
      <c r="Y39" s="153"/>
    </row>
    <row r="40" spans="2:25" ht="18" customHeight="1" thickBot="1" x14ac:dyDescent="0.2">
      <c r="B40" s="87"/>
      <c r="C40" s="83"/>
      <c r="D40" s="460" t="s">
        <v>114</v>
      </c>
      <c r="E40" s="461"/>
      <c r="F40" s="461"/>
      <c r="G40" s="293">
        <v>7</v>
      </c>
      <c r="H40" s="297">
        <v>6</v>
      </c>
      <c r="I40" s="319">
        <v>1</v>
      </c>
      <c r="J40" s="293">
        <v>2</v>
      </c>
      <c r="K40" s="297">
        <v>1</v>
      </c>
      <c r="L40" s="293">
        <v>7</v>
      </c>
      <c r="M40" s="297">
        <v>1</v>
      </c>
      <c r="N40" s="93">
        <v>1</v>
      </c>
      <c r="O40" s="306"/>
      <c r="P40" s="305"/>
      <c r="Q40" s="33"/>
      <c r="R40" s="305"/>
      <c r="S40" s="33"/>
    </row>
    <row r="41" spans="2:25" ht="18" customHeight="1" thickTop="1" x14ac:dyDescent="0.15"/>
  </sheetData>
  <sheetProtection algorithmName="SHA-512" hashValue="dkb7jFGyFxCAEjVYjYvJ5L8n2HafvocSkoX67mfbYOnD3S0gnwtWk6+GW/KUvg70KLKkQ3jLH0xIuUxSq77sKQ==" saltValue="Buc7HhB5ewX4n9d8URsi/w==" spinCount="100000" sheet="1" objects="1" scenarios="1" selectLockedCells="1"/>
  <mergeCells count="42">
    <mergeCell ref="B4:B6"/>
    <mergeCell ref="C4:C6"/>
    <mergeCell ref="D4:F6"/>
    <mergeCell ref="O1:P1"/>
    <mergeCell ref="U2:X2"/>
    <mergeCell ref="G4:P4"/>
    <mergeCell ref="R4:R6"/>
    <mergeCell ref="P5:P6"/>
    <mergeCell ref="D40:F40"/>
    <mergeCell ref="E13:F13"/>
    <mergeCell ref="D9:F9"/>
    <mergeCell ref="D10:F10"/>
    <mergeCell ref="D11:F11"/>
    <mergeCell ref="D12:F12"/>
    <mergeCell ref="D27:F27"/>
    <mergeCell ref="D23:F23"/>
    <mergeCell ref="D24:F24"/>
    <mergeCell ref="D25:F25"/>
    <mergeCell ref="D37:F37"/>
    <mergeCell ref="D28:F28"/>
    <mergeCell ref="D17:F17"/>
    <mergeCell ref="D18:F18"/>
    <mergeCell ref="D19:F19"/>
    <mergeCell ref="D21:F21"/>
    <mergeCell ref="E20:F20"/>
    <mergeCell ref="D22:F22"/>
    <mergeCell ref="D7:F7"/>
    <mergeCell ref="D36:F36"/>
    <mergeCell ref="D14:F14"/>
    <mergeCell ref="D15:F15"/>
    <mergeCell ref="D16:F16"/>
    <mergeCell ref="E8:F8"/>
    <mergeCell ref="D26:F26"/>
    <mergeCell ref="D31:F31"/>
    <mergeCell ref="D29:F29"/>
    <mergeCell ref="D30:F30"/>
    <mergeCell ref="D39:F39"/>
    <mergeCell ref="D32:F32"/>
    <mergeCell ref="D33:F33"/>
    <mergeCell ref="D34:F34"/>
    <mergeCell ref="D35:F35"/>
    <mergeCell ref="D38:F38"/>
  </mergeCells>
  <phoneticPr fontId="2"/>
  <conditionalFormatting sqref="G7:N7 G9:N12 G14:N19 G21:N38">
    <cfRule type="expression" dxfId="4" priority="1" stopIfTrue="1">
      <formula>$B7="*"</formula>
    </cfRule>
  </conditionalFormatting>
  <dataValidations count="2">
    <dataValidation allowBlank="1" showInputMessage="1" showErrorMessage="1" prompt="左のプルダウンメニューで選択" sqref="B1:B2" xr:uid="{00000000-0002-0000-0700-000000000000}"/>
    <dataValidation type="whole" imeMode="disabled" operator="greaterThanOrEqual" allowBlank="1" showErrorMessage="1" errorTitle="不正な入力です！" error="整数以外入力不可" prompt="技術職員数入力" sqref="G7:N40" xr:uid="{00000000-0002-0000-0700-000001000000}">
      <formula1>0</formula1>
    </dataValidation>
  </dataValidations>
  <pageMargins left="0.59055118110236227" right="0.19685039370078741" top="0.39370078740157483" bottom="0.19685039370078741" header="0" footer="0"/>
  <pageSetup paperSize="9" scale="87" orientation="portrait" blackAndWhite="1" horizontalDpi="300" verticalDpi="300" r:id="rId1"/>
  <headerFooter alignWithMargins="0"/>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4584" r:id="rId4" name="Drop Down 8">
              <controlPr defaultSize="0" autoLine="0" autoPict="0">
                <anchor moveWithCells="1">
                  <from>
                    <xdr:col>1</xdr:col>
                    <xdr:colOff>104775</xdr:colOff>
                    <xdr:row>2</xdr:row>
                    <xdr:rowOff>0</xdr:rowOff>
                  </from>
                  <to>
                    <xdr:col>5</xdr:col>
                    <xdr:colOff>685800</xdr:colOff>
                    <xdr:row>2</xdr:row>
                    <xdr:rowOff>209550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5"/>
  <dimension ref="B1:Z55"/>
  <sheetViews>
    <sheetView showGridLines="0" showRowColHeaders="0" zoomScaleNormal="100" workbookViewId="0">
      <pane ySplit="5" topLeftCell="A6" activePane="bottomLeft" state="frozen"/>
      <selection activeCell="M12" sqref="M12"/>
      <selection pane="bottomLeft" activeCell="D6" sqref="D6"/>
    </sheetView>
  </sheetViews>
  <sheetFormatPr defaultColWidth="9" defaultRowHeight="18" customHeight="1" x14ac:dyDescent="0.15"/>
  <cols>
    <col min="1" max="1" width="2.625" style="1" customWidth="1"/>
    <col min="2" max="2" width="3.625" style="16" customWidth="1"/>
    <col min="3" max="3" width="22.625" style="37" customWidth="1"/>
    <col min="4" max="8" width="11.625" style="3" customWidth="1"/>
    <col min="9" max="9" width="12.625" style="1" hidden="1" customWidth="1"/>
    <col min="10" max="10" width="22.625" style="4" hidden="1" customWidth="1"/>
    <col min="11" max="11" width="10.625" style="4" hidden="1" customWidth="1"/>
    <col min="12" max="13" width="8.625" style="4" hidden="1" customWidth="1"/>
    <col min="14" max="14" width="8.625" style="5" hidden="1" customWidth="1"/>
    <col min="15" max="15" width="8.625" style="1" hidden="1" customWidth="1"/>
    <col min="16" max="16" width="7.625" style="1" hidden="1" customWidth="1"/>
    <col min="17" max="17" width="8.125" style="1" hidden="1" customWidth="1"/>
    <col min="18" max="18" width="5.625" style="1" hidden="1" customWidth="1"/>
    <col min="19" max="20" width="5.625" style="1" customWidth="1"/>
    <col min="21" max="21" width="0.875" style="1" customWidth="1"/>
    <col min="22" max="22" width="12.625" style="1" customWidth="1"/>
    <col min="23" max="25" width="7.625" style="1" customWidth="1"/>
    <col min="26" max="26" width="0.875" style="1" customWidth="1"/>
    <col min="27" max="16384" width="9" style="1"/>
  </cols>
  <sheetData>
    <row r="1" spans="2:26" ht="18" customHeight="1" x14ac:dyDescent="0.15">
      <c r="C1" s="130" t="s">
        <v>43</v>
      </c>
      <c r="D1" s="496" t="str">
        <f>IF(O3&gt;0,"入力必須項目の中に空白のセルが 『 "&amp;O3&amp;"個 』 あります。再確認をお願いします。","")</f>
        <v/>
      </c>
      <c r="E1" s="496"/>
      <c r="F1" s="496"/>
      <c r="G1" s="496"/>
      <c r="H1" s="496"/>
      <c r="I1" s="243"/>
      <c r="J1" s="244"/>
      <c r="K1" s="6"/>
      <c r="L1" s="6"/>
      <c r="M1" s="244"/>
      <c r="N1" s="245"/>
      <c r="O1" s="243"/>
      <c r="P1" s="243"/>
      <c r="Q1" s="243"/>
      <c r="R1" s="243"/>
      <c r="U1" s="153"/>
      <c r="V1" s="497" t="s">
        <v>126</v>
      </c>
      <c r="W1" s="497"/>
      <c r="X1" s="497"/>
      <c r="Y1" s="497"/>
      <c r="Z1" s="153"/>
    </row>
    <row r="2" spans="2:26" ht="18" customHeight="1" x14ac:dyDescent="0.15">
      <c r="D2" s="496"/>
      <c r="E2" s="496"/>
      <c r="F2" s="496"/>
      <c r="G2" s="496"/>
      <c r="H2" s="496"/>
      <c r="I2" s="231"/>
      <c r="J2" s="231"/>
      <c r="K2" s="3"/>
      <c r="L2" s="3"/>
      <c r="U2" s="153"/>
      <c r="V2" s="151"/>
      <c r="W2" s="161" t="s">
        <v>461</v>
      </c>
      <c r="X2" s="161" t="s">
        <v>462</v>
      </c>
      <c r="Y2" s="161" t="s">
        <v>463</v>
      </c>
      <c r="Z2" s="153"/>
    </row>
    <row r="3" spans="2:26" ht="18" customHeight="1" x14ac:dyDescent="0.15">
      <c r="D3" s="51"/>
      <c r="E3" s="51"/>
      <c r="F3" s="504" t="s">
        <v>526</v>
      </c>
      <c r="G3" s="504"/>
      <c r="H3" s="33" t="s">
        <v>425</v>
      </c>
      <c r="I3" s="231"/>
      <c r="J3" s="1" t="s">
        <v>527</v>
      </c>
      <c r="K3" s="209" t="b">
        <v>0</v>
      </c>
      <c r="L3" s="3"/>
      <c r="N3" s="4" t="s">
        <v>570</v>
      </c>
      <c r="O3" s="34">
        <f>COUNTBLANK(D6:D11)+COUNTBLANK(D13:D20)+COUNTBLANK(D22:D29)+COUNTBLANK(D31)+COUNTBLANK(E6:E10)+COUNTBLANK(E13:E15)+COUNTBLANK(E19:E20)+COUNTBLANK(E25)+COUNTBLANK(E28:E29)+COUNTBLANK(E31)+COUNTBLANK(F6:F10)+COUNTBLANK(F13:F15)</f>
        <v>0</v>
      </c>
      <c r="U3" s="153"/>
      <c r="V3" s="151"/>
      <c r="W3" s="157">
        <f>E42</f>
        <v>0</v>
      </c>
      <c r="X3" s="157">
        <f>F47</f>
        <v>665</v>
      </c>
      <c r="Y3" s="157">
        <f>社会性等!AH52</f>
        <v>0</v>
      </c>
      <c r="Z3" s="153"/>
    </row>
    <row r="4" spans="2:26" ht="18" customHeight="1" x14ac:dyDescent="0.15">
      <c r="C4" s="498"/>
      <c r="D4" s="500" t="s">
        <v>557</v>
      </c>
      <c r="E4" s="502" t="s">
        <v>558</v>
      </c>
      <c r="F4" s="502" t="s">
        <v>559</v>
      </c>
      <c r="G4" s="131" t="s">
        <v>41</v>
      </c>
      <c r="H4" s="131" t="str">
        <f>IF(その他!H5=1,その他!I5,その他!I6)</f>
        <v>基準決算</v>
      </c>
      <c r="I4" s="232"/>
      <c r="J4" s="231"/>
      <c r="K4" s="3"/>
      <c r="L4" s="3"/>
      <c r="U4" s="153"/>
      <c r="V4" s="151"/>
      <c r="W4" s="159"/>
      <c r="X4" s="159"/>
      <c r="Y4" s="159"/>
      <c r="Z4" s="153"/>
    </row>
    <row r="5" spans="2:26" ht="18" customHeight="1" x14ac:dyDescent="0.15">
      <c r="C5" s="499"/>
      <c r="D5" s="501"/>
      <c r="E5" s="503"/>
      <c r="F5" s="503"/>
      <c r="G5" s="132" t="s">
        <v>231</v>
      </c>
      <c r="H5" s="132" t="s">
        <v>134</v>
      </c>
      <c r="J5" s="4" t="s">
        <v>267</v>
      </c>
      <c r="K5" s="3">
        <f>完成工事高!L40</f>
        <v>221017</v>
      </c>
      <c r="L5" s="3"/>
      <c r="U5" s="153"/>
      <c r="V5" s="160"/>
      <c r="W5" s="161" t="s">
        <v>464</v>
      </c>
      <c r="X5" s="161" t="s">
        <v>465</v>
      </c>
      <c r="Y5" s="161" t="s">
        <v>466</v>
      </c>
      <c r="Z5" s="153"/>
    </row>
    <row r="6" spans="2:26" ht="18" customHeight="1" x14ac:dyDescent="0.15">
      <c r="B6" s="182" t="s">
        <v>479</v>
      </c>
      <c r="C6" s="133" t="s">
        <v>49</v>
      </c>
      <c r="D6" s="93">
        <v>0</v>
      </c>
      <c r="E6" s="93">
        <v>0</v>
      </c>
      <c r="F6" s="93">
        <v>0</v>
      </c>
      <c r="G6" s="94"/>
      <c r="H6" s="94"/>
      <c r="J6" s="4" t="s">
        <v>295</v>
      </c>
      <c r="K6" s="6">
        <f>D22+D23</f>
        <v>298072</v>
      </c>
      <c r="L6" s="3"/>
      <c r="U6" s="153"/>
      <c r="V6" s="162" t="s">
        <v>48</v>
      </c>
      <c r="W6" s="157">
        <f>IF(X6="","",ROUND(0.25*X6+0.15*$X$3+0.2*$W$3+0.25*Y6+0.15*$Y$3,0))</f>
        <v>414</v>
      </c>
      <c r="X6" s="157">
        <f>完成工事高!M7</f>
        <v>801</v>
      </c>
      <c r="Y6" s="157">
        <f>技術者!R7</f>
        <v>456</v>
      </c>
      <c r="Z6" s="153"/>
    </row>
    <row r="7" spans="2:26" ht="18" customHeight="1" x14ac:dyDescent="0.15">
      <c r="B7" s="182" t="s">
        <v>479</v>
      </c>
      <c r="C7" s="133" t="s">
        <v>51</v>
      </c>
      <c r="D7" s="93">
        <v>62947</v>
      </c>
      <c r="E7" s="93">
        <v>75949</v>
      </c>
      <c r="F7" s="93">
        <v>80283</v>
      </c>
      <c r="G7" s="94"/>
      <c r="H7" s="94"/>
      <c r="J7" s="4" t="s">
        <v>224</v>
      </c>
      <c r="K7" s="6">
        <f>D27-D26</f>
        <v>1332</v>
      </c>
      <c r="L7" s="3"/>
      <c r="U7" s="153"/>
      <c r="V7" s="162" t="s">
        <v>125</v>
      </c>
      <c r="W7" s="157">
        <f t="shared" ref="W7:W37" si="0">IF(X7="","",ROUND(0.25*X7+0.15*$X$3+0.2*$W$3+0.25*Y7+0.15*$Y$3,0))</f>
        <v>313</v>
      </c>
      <c r="X7" s="157">
        <f>完成工事高!M8</f>
        <v>397</v>
      </c>
      <c r="Y7" s="157">
        <f>技術者!R8</f>
        <v>456</v>
      </c>
      <c r="Z7" s="153"/>
    </row>
    <row r="8" spans="2:26" ht="18" customHeight="1" x14ac:dyDescent="0.15">
      <c r="B8" s="182" t="s">
        <v>479</v>
      </c>
      <c r="C8" s="133" t="s">
        <v>55</v>
      </c>
      <c r="D8" s="93">
        <v>48983</v>
      </c>
      <c r="E8" s="93">
        <v>30333</v>
      </c>
      <c r="F8" s="93">
        <v>56385</v>
      </c>
      <c r="G8" s="94"/>
      <c r="H8" s="94"/>
      <c r="K8" s="3"/>
      <c r="L8" s="3"/>
      <c r="U8" s="153"/>
      <c r="V8" s="162" t="s">
        <v>53</v>
      </c>
      <c r="W8" s="157">
        <f t="shared" si="0"/>
        <v>313</v>
      </c>
      <c r="X8" s="157">
        <f>完成工事高!M9</f>
        <v>397</v>
      </c>
      <c r="Y8" s="157">
        <f>技術者!R9</f>
        <v>456</v>
      </c>
      <c r="Z8" s="153"/>
    </row>
    <row r="9" spans="2:26" ht="18" customHeight="1" x14ac:dyDescent="0.15">
      <c r="B9" s="182" t="s">
        <v>479</v>
      </c>
      <c r="C9" s="133" t="s">
        <v>213</v>
      </c>
      <c r="D9" s="93">
        <v>15296</v>
      </c>
      <c r="E9" s="93">
        <v>9769</v>
      </c>
      <c r="F9" s="93">
        <v>13026</v>
      </c>
      <c r="G9" s="94"/>
      <c r="H9" s="94"/>
      <c r="I9" s="34"/>
      <c r="J9" s="4" t="s">
        <v>227</v>
      </c>
      <c r="K9" s="6">
        <f>D16+D17</f>
        <v>179393</v>
      </c>
      <c r="L9" s="3"/>
      <c r="U9" s="153"/>
      <c r="V9" s="162" t="s">
        <v>54</v>
      </c>
      <c r="W9" s="157" t="str">
        <f t="shared" si="0"/>
        <v/>
      </c>
      <c r="X9" s="157" t="str">
        <f>完成工事高!M10</f>
        <v/>
      </c>
      <c r="Y9" s="157" t="str">
        <f>技術者!R10</f>
        <v/>
      </c>
      <c r="Z9" s="153"/>
    </row>
    <row r="10" spans="2:26" ht="18" customHeight="1" x14ac:dyDescent="0.15">
      <c r="B10" s="182" t="s">
        <v>479</v>
      </c>
      <c r="C10" s="133" t="s">
        <v>57</v>
      </c>
      <c r="D10" s="93">
        <v>-450</v>
      </c>
      <c r="E10" s="93">
        <v>0</v>
      </c>
      <c r="F10" s="93">
        <v>-244</v>
      </c>
      <c r="G10" s="94"/>
      <c r="H10" s="94"/>
      <c r="K10" s="3"/>
      <c r="L10" s="3"/>
      <c r="U10" s="153"/>
      <c r="V10" s="162" t="s">
        <v>56</v>
      </c>
      <c r="W10" s="157" t="str">
        <f t="shared" si="0"/>
        <v/>
      </c>
      <c r="X10" s="157" t="str">
        <f>完成工事高!M11</f>
        <v/>
      </c>
      <c r="Y10" s="157" t="str">
        <f>技術者!R11</f>
        <v/>
      </c>
      <c r="Z10" s="153"/>
    </row>
    <row r="11" spans="2:26" ht="18" customHeight="1" x14ac:dyDescent="0.15">
      <c r="B11" s="182"/>
      <c r="C11" s="133" t="s">
        <v>406</v>
      </c>
      <c r="D11" s="93">
        <v>134578</v>
      </c>
      <c r="E11" s="94"/>
      <c r="F11" s="94"/>
      <c r="G11" s="94"/>
      <c r="H11" s="94"/>
      <c r="J11" s="4" t="s">
        <v>228</v>
      </c>
      <c r="K11" s="3">
        <f>(D20+E20)/2</f>
        <v>285769</v>
      </c>
      <c r="L11" s="3"/>
      <c r="U11" s="153"/>
      <c r="V11" s="162" t="s">
        <v>58</v>
      </c>
      <c r="W11" s="157">
        <f t="shared" si="0"/>
        <v>314</v>
      </c>
      <c r="X11" s="157">
        <f>完成工事高!M12</f>
        <v>400</v>
      </c>
      <c r="Y11" s="157">
        <f>技術者!R12</f>
        <v>456</v>
      </c>
      <c r="Z11" s="153"/>
    </row>
    <row r="12" spans="2:26" ht="18" customHeight="1" x14ac:dyDescent="0.15">
      <c r="B12" s="182"/>
      <c r="C12" s="92"/>
      <c r="D12" s="94"/>
      <c r="E12" s="94"/>
      <c r="F12" s="94"/>
      <c r="G12" s="94"/>
      <c r="H12" s="94"/>
      <c r="J12" s="4" t="s">
        <v>229</v>
      </c>
      <c r="K12" s="6">
        <f>IF(K11&lt;30000,30000,K11)</f>
        <v>285769</v>
      </c>
      <c r="L12" s="3"/>
      <c r="U12" s="153"/>
      <c r="V12" s="162" t="s">
        <v>59</v>
      </c>
      <c r="W12" s="157">
        <f t="shared" si="0"/>
        <v>313</v>
      </c>
      <c r="X12" s="157">
        <f>完成工事高!M13</f>
        <v>397</v>
      </c>
      <c r="Y12" s="157">
        <f>技術者!R13</f>
        <v>456</v>
      </c>
      <c r="Z12" s="153"/>
    </row>
    <row r="13" spans="2:26" ht="18" customHeight="1" x14ac:dyDescent="0.15">
      <c r="B13" s="182" t="s">
        <v>479</v>
      </c>
      <c r="C13" s="133" t="s">
        <v>63</v>
      </c>
      <c r="D13" s="93">
        <v>6000</v>
      </c>
      <c r="E13" s="93">
        <v>0</v>
      </c>
      <c r="F13" s="93">
        <v>18553</v>
      </c>
      <c r="G13" s="94"/>
      <c r="H13" s="94"/>
      <c r="K13" s="3"/>
      <c r="L13" s="3"/>
      <c r="U13" s="153"/>
      <c r="V13" s="162" t="s">
        <v>61</v>
      </c>
      <c r="W13" s="157" t="str">
        <f t="shared" si="0"/>
        <v/>
      </c>
      <c r="X13" s="157" t="str">
        <f>完成工事高!M14</f>
        <v/>
      </c>
      <c r="Y13" s="157" t="str">
        <f>技術者!R14</f>
        <v/>
      </c>
      <c r="Z13" s="153"/>
    </row>
    <row r="14" spans="2:26" ht="18" customHeight="1" x14ac:dyDescent="0.15">
      <c r="B14" s="182" t="s">
        <v>479</v>
      </c>
      <c r="C14" s="133" t="s">
        <v>66</v>
      </c>
      <c r="D14" s="93">
        <v>39145</v>
      </c>
      <c r="E14" s="93">
        <v>8148</v>
      </c>
      <c r="F14" s="93">
        <v>9761</v>
      </c>
      <c r="G14" s="94"/>
      <c r="H14" s="94"/>
      <c r="J14" s="4" t="s">
        <v>230</v>
      </c>
      <c r="K14" s="3">
        <f>IF(H19&lt;0,0,H19)</f>
        <v>136391</v>
      </c>
      <c r="L14" s="3"/>
      <c r="U14" s="153"/>
      <c r="V14" s="162" t="s">
        <v>62</v>
      </c>
      <c r="W14" s="157" t="str">
        <f t="shared" si="0"/>
        <v/>
      </c>
      <c r="X14" s="157" t="str">
        <f>完成工事高!M15</f>
        <v/>
      </c>
      <c r="Y14" s="157" t="str">
        <f>技術者!R15</f>
        <v/>
      </c>
      <c r="Z14" s="153"/>
    </row>
    <row r="15" spans="2:26" ht="18" customHeight="1" x14ac:dyDescent="0.15">
      <c r="B15" s="182" t="s">
        <v>479</v>
      </c>
      <c r="C15" s="133" t="s">
        <v>68</v>
      </c>
      <c r="D15" s="93">
        <v>37160</v>
      </c>
      <c r="E15" s="93">
        <v>52032</v>
      </c>
      <c r="F15" s="93">
        <v>47040</v>
      </c>
      <c r="G15" s="94"/>
      <c r="H15" s="95"/>
      <c r="K15" s="3"/>
      <c r="L15" s="3"/>
      <c r="U15" s="153"/>
      <c r="V15" s="162" t="s">
        <v>64</v>
      </c>
      <c r="W15" s="157" t="str">
        <f t="shared" si="0"/>
        <v/>
      </c>
      <c r="X15" s="157" t="str">
        <f>完成工事高!M16</f>
        <v/>
      </c>
      <c r="Y15" s="157" t="str">
        <f>技術者!R16</f>
        <v/>
      </c>
      <c r="Z15" s="153"/>
    </row>
    <row r="16" spans="2:26" ht="18" customHeight="1" x14ac:dyDescent="0.15">
      <c r="B16" s="182"/>
      <c r="C16" s="133" t="s">
        <v>407</v>
      </c>
      <c r="D16" s="93">
        <v>125018</v>
      </c>
      <c r="E16" s="94"/>
      <c r="F16" s="94"/>
      <c r="G16" s="94"/>
      <c r="H16" s="95"/>
      <c r="J16" s="1"/>
      <c r="K16" s="1" t="s">
        <v>44</v>
      </c>
      <c r="L16" s="3" t="s">
        <v>232</v>
      </c>
      <c r="U16" s="153"/>
      <c r="V16" s="162" t="s">
        <v>65</v>
      </c>
      <c r="W16" s="157" t="str">
        <f t="shared" si="0"/>
        <v/>
      </c>
      <c r="X16" s="157" t="str">
        <f>完成工事高!M17</f>
        <v/>
      </c>
      <c r="Y16" s="157" t="str">
        <f>技術者!R17</f>
        <v/>
      </c>
      <c r="Z16" s="153"/>
    </row>
    <row r="17" spans="2:26" ht="18" customHeight="1" x14ac:dyDescent="0.15">
      <c r="B17" s="182"/>
      <c r="C17" s="133" t="s">
        <v>408</v>
      </c>
      <c r="D17" s="93">
        <v>54375</v>
      </c>
      <c r="E17" s="94"/>
      <c r="F17" s="94"/>
      <c r="G17" s="94"/>
      <c r="H17" s="94"/>
      <c r="J17" s="4" t="s">
        <v>417</v>
      </c>
      <c r="K17" s="3">
        <f>D28</f>
        <v>352</v>
      </c>
      <c r="L17" s="3">
        <f>E28</f>
        <v>547</v>
      </c>
      <c r="U17" s="153"/>
      <c r="V17" s="162" t="s">
        <v>396</v>
      </c>
      <c r="W17" s="157" t="str">
        <f t="shared" si="0"/>
        <v/>
      </c>
      <c r="X17" s="157" t="str">
        <f>完成工事高!M18</f>
        <v/>
      </c>
      <c r="Y17" s="157" t="str">
        <f>技術者!R18</f>
        <v/>
      </c>
      <c r="Z17" s="153"/>
    </row>
    <row r="18" spans="2:26" ht="18" customHeight="1" x14ac:dyDescent="0.15">
      <c r="B18" s="182"/>
      <c r="C18" s="133" t="str">
        <f>IF(基本事項!AM17=2,"純資産合計額","利益剰余金合計")</f>
        <v>利益剰余金合計</v>
      </c>
      <c r="D18" s="93">
        <v>116391</v>
      </c>
      <c r="E18" s="94"/>
      <c r="F18" s="94"/>
      <c r="G18" s="94"/>
      <c r="H18" s="95"/>
      <c r="J18" s="4" t="s">
        <v>410</v>
      </c>
      <c r="K18" s="3">
        <f>D31</f>
        <v>3033</v>
      </c>
      <c r="L18" s="3">
        <f>E31</f>
        <v>2522</v>
      </c>
      <c r="U18" s="153"/>
      <c r="V18" s="162" t="s">
        <v>67</v>
      </c>
      <c r="W18" s="157" t="str">
        <f t="shared" si="0"/>
        <v/>
      </c>
      <c r="X18" s="157" t="str">
        <f>完成工事高!M19</f>
        <v/>
      </c>
      <c r="Y18" s="157" t="str">
        <f>技術者!R19</f>
        <v/>
      </c>
      <c r="Z18" s="153"/>
    </row>
    <row r="19" spans="2:26" ht="18" customHeight="1" x14ac:dyDescent="0.15">
      <c r="B19" s="182"/>
      <c r="C19" s="133" t="s">
        <v>41</v>
      </c>
      <c r="D19" s="93">
        <v>136391</v>
      </c>
      <c r="E19" s="93">
        <v>50000</v>
      </c>
      <c r="F19" s="94"/>
      <c r="G19" s="96">
        <f>IF(AND(D19="",E19=""),0,TRUNC((D19+E19)/2))</f>
        <v>93195</v>
      </c>
      <c r="H19" s="79">
        <f>IF(AND(D19="",E19=""),0,IF(その他!H5=1,D19,IF(その他!H5=2,G19,"×")))</f>
        <v>136391</v>
      </c>
      <c r="J19" s="4" t="s">
        <v>411</v>
      </c>
      <c r="K19" s="3">
        <f>D29</f>
        <v>305</v>
      </c>
      <c r="L19" s="3">
        <f>E29</f>
        <v>337</v>
      </c>
      <c r="U19" s="153"/>
      <c r="V19" s="162" t="s">
        <v>70</v>
      </c>
      <c r="W19" s="157" t="str">
        <f t="shared" si="0"/>
        <v/>
      </c>
      <c r="X19" s="157" t="str">
        <f>完成工事高!M20</f>
        <v/>
      </c>
      <c r="Y19" s="157" t="str">
        <f>技術者!R20</f>
        <v/>
      </c>
      <c r="Z19" s="153"/>
    </row>
    <row r="20" spans="2:26" ht="18" customHeight="1" x14ac:dyDescent="0.15">
      <c r="B20" s="182"/>
      <c r="C20" s="133" t="s">
        <v>458</v>
      </c>
      <c r="D20" s="93">
        <v>314785</v>
      </c>
      <c r="E20" s="93">
        <v>256753</v>
      </c>
      <c r="F20" s="94"/>
      <c r="G20" s="94"/>
      <c r="H20" s="94"/>
      <c r="I20" s="90" t="s">
        <v>81</v>
      </c>
      <c r="J20" s="4" t="s">
        <v>412</v>
      </c>
      <c r="K20" s="3">
        <f>-(D10-E10)</f>
        <v>450</v>
      </c>
      <c r="L20" s="3">
        <f>-(E10-F10)</f>
        <v>-244</v>
      </c>
      <c r="M20" s="3"/>
      <c r="U20" s="153"/>
      <c r="V20" s="162" t="s">
        <v>71</v>
      </c>
      <c r="W20" s="157" t="str">
        <f t="shared" si="0"/>
        <v/>
      </c>
      <c r="X20" s="157" t="str">
        <f>完成工事高!M21</f>
        <v/>
      </c>
      <c r="Y20" s="157" t="str">
        <f>技術者!R21</f>
        <v/>
      </c>
      <c r="Z20" s="153"/>
    </row>
    <row r="21" spans="2:26" ht="18" customHeight="1" x14ac:dyDescent="0.15">
      <c r="B21" s="182"/>
      <c r="C21" s="92"/>
      <c r="D21" s="94"/>
      <c r="E21" s="94"/>
      <c r="F21" s="94"/>
      <c r="G21" s="94"/>
      <c r="H21" s="94"/>
      <c r="I21" s="91">
        <f>IF(ISERROR(ROUND(D22/(D22+D23)*100,1)),"",ROUND(D22/(D22+D23)*100,1))</f>
        <v>99.2</v>
      </c>
      <c r="J21" s="4" t="s">
        <v>413</v>
      </c>
      <c r="K21" s="3">
        <f>(D6+D7)-(E6+E7)</f>
        <v>-13002</v>
      </c>
      <c r="L21" s="3">
        <f>(E6+E7)-(F6+F7)</f>
        <v>-4334</v>
      </c>
      <c r="U21" s="153"/>
      <c r="V21" s="144" t="s">
        <v>549</v>
      </c>
      <c r="W21" s="157" t="str">
        <f t="shared" si="0"/>
        <v/>
      </c>
      <c r="X21" s="157" t="str">
        <f>完成工事高!M22</f>
        <v/>
      </c>
      <c r="Y21" s="157" t="str">
        <f>技術者!R22</f>
        <v/>
      </c>
      <c r="Z21" s="153"/>
    </row>
    <row r="22" spans="2:26" ht="18" customHeight="1" x14ac:dyDescent="0.15">
      <c r="B22" s="182"/>
      <c r="C22" s="133" t="s">
        <v>2</v>
      </c>
      <c r="D22" s="93">
        <v>295750</v>
      </c>
      <c r="E22" s="94"/>
      <c r="F22" s="94"/>
      <c r="G22" s="94"/>
      <c r="H22" s="94"/>
      <c r="J22" s="4" t="s">
        <v>414</v>
      </c>
      <c r="K22" s="3">
        <f>(D13+D14)-(E13+E14)</f>
        <v>36997</v>
      </c>
      <c r="L22" s="3">
        <f>(E13+E14)-(F13+F14)</f>
        <v>-20166</v>
      </c>
      <c r="U22" s="153"/>
      <c r="V22" s="162" t="s">
        <v>397</v>
      </c>
      <c r="W22" s="157" t="str">
        <f t="shared" si="0"/>
        <v/>
      </c>
      <c r="X22" s="157" t="str">
        <f>完成工事高!M23</f>
        <v/>
      </c>
      <c r="Y22" s="157" t="str">
        <f>技術者!R23</f>
        <v/>
      </c>
      <c r="Z22" s="153"/>
    </row>
    <row r="23" spans="2:26" ht="18" customHeight="1" x14ac:dyDescent="0.15">
      <c r="B23" s="182"/>
      <c r="C23" s="133" t="s">
        <v>4</v>
      </c>
      <c r="D23" s="93">
        <v>2322</v>
      </c>
      <c r="E23" s="94"/>
      <c r="F23" s="94"/>
      <c r="G23" s="94"/>
      <c r="H23" s="94"/>
      <c r="J23" s="4" t="s">
        <v>415</v>
      </c>
      <c r="K23" s="3">
        <f>(D8+D9)-(E8+E9)</f>
        <v>24177</v>
      </c>
      <c r="L23" s="3">
        <f>(E8+E9)-(F8+F9)</f>
        <v>-29309</v>
      </c>
      <c r="U23" s="153"/>
      <c r="V23" s="162" t="s">
        <v>72</v>
      </c>
      <c r="W23" s="157" t="str">
        <f t="shared" si="0"/>
        <v/>
      </c>
      <c r="X23" s="157" t="str">
        <f>完成工事高!M24</f>
        <v/>
      </c>
      <c r="Y23" s="157" t="str">
        <f>技術者!R24</f>
        <v/>
      </c>
      <c r="Z23" s="153"/>
    </row>
    <row r="24" spans="2:26" ht="18" customHeight="1" x14ac:dyDescent="0.15">
      <c r="B24" s="182"/>
      <c r="C24" s="133" t="str">
        <f>IF(基本事項!AM17=2,"完成工事総利益","売上総利益")</f>
        <v>売上総利益</v>
      </c>
      <c r="D24" s="93">
        <v>54041</v>
      </c>
      <c r="E24" s="94"/>
      <c r="F24" s="94"/>
      <c r="G24" s="94"/>
      <c r="H24" s="94"/>
      <c r="J24" s="4" t="s">
        <v>416</v>
      </c>
      <c r="K24" s="3">
        <f>D15-E15</f>
        <v>-14872</v>
      </c>
      <c r="L24" s="3">
        <f>E15-F15</f>
        <v>4992</v>
      </c>
      <c r="U24" s="153"/>
      <c r="V24" s="162" t="s">
        <v>398</v>
      </c>
      <c r="W24" s="157" t="str">
        <f t="shared" si="0"/>
        <v/>
      </c>
      <c r="X24" s="157" t="str">
        <f>完成工事高!M25</f>
        <v/>
      </c>
      <c r="Y24" s="157" t="str">
        <f>技術者!R25</f>
        <v/>
      </c>
      <c r="Z24" s="153"/>
    </row>
    <row r="25" spans="2:26" ht="18" customHeight="1" x14ac:dyDescent="0.15">
      <c r="B25" s="182"/>
      <c r="C25" s="133" t="s">
        <v>6</v>
      </c>
      <c r="D25" s="93">
        <v>2381</v>
      </c>
      <c r="E25" s="93">
        <v>4259</v>
      </c>
      <c r="F25" s="94"/>
      <c r="G25" s="94"/>
      <c r="H25" s="94"/>
      <c r="J25" s="7" t="s">
        <v>418</v>
      </c>
      <c r="K25" s="3">
        <f>K17+K18-K19+K20-K21+K22-K23+K24</f>
        <v>14480</v>
      </c>
      <c r="L25" s="3">
        <f>L17+L18-L19+L20-L21+L22-L23+L24</f>
        <v>20957</v>
      </c>
      <c r="U25" s="153"/>
      <c r="V25" s="162" t="s">
        <v>73</v>
      </c>
      <c r="W25" s="157" t="str">
        <f t="shared" si="0"/>
        <v/>
      </c>
      <c r="X25" s="157" t="str">
        <f>完成工事高!M26</f>
        <v/>
      </c>
      <c r="Y25" s="157" t="str">
        <f>技術者!R26</f>
        <v/>
      </c>
      <c r="Z25" s="153"/>
    </row>
    <row r="26" spans="2:26" ht="18" customHeight="1" x14ac:dyDescent="0.15">
      <c r="B26" s="182"/>
      <c r="C26" s="133" t="s">
        <v>8</v>
      </c>
      <c r="D26" s="93">
        <v>23</v>
      </c>
      <c r="E26" s="94"/>
      <c r="F26" s="94"/>
      <c r="G26" s="94"/>
      <c r="H26" s="94"/>
      <c r="K26" s="3"/>
      <c r="L26" s="3"/>
      <c r="U26" s="153"/>
      <c r="V26" s="162" t="s">
        <v>76</v>
      </c>
      <c r="W26" s="157" t="str">
        <f t="shared" si="0"/>
        <v/>
      </c>
      <c r="X26" s="157" t="str">
        <f>完成工事高!M27</f>
        <v/>
      </c>
      <c r="Y26" s="157" t="str">
        <f>技術者!R27</f>
        <v/>
      </c>
      <c r="Z26" s="153"/>
    </row>
    <row r="27" spans="2:26" ht="18" customHeight="1" x14ac:dyDescent="0.15">
      <c r="B27" s="182"/>
      <c r="C27" s="133" t="s">
        <v>10</v>
      </c>
      <c r="D27" s="93">
        <v>1355</v>
      </c>
      <c r="E27" s="94"/>
      <c r="F27" s="94"/>
      <c r="G27" s="94"/>
      <c r="H27" s="94"/>
      <c r="J27" s="1" t="s">
        <v>419</v>
      </c>
      <c r="K27" s="3">
        <f>D25+D31</f>
        <v>5414</v>
      </c>
      <c r="L27" s="3">
        <f>E25+E31</f>
        <v>6781</v>
      </c>
      <c r="U27" s="153"/>
      <c r="V27" s="163" t="s">
        <v>77</v>
      </c>
      <c r="W27" s="157" t="str">
        <f t="shared" si="0"/>
        <v/>
      </c>
      <c r="X27" s="157" t="str">
        <f>完成工事高!M28</f>
        <v/>
      </c>
      <c r="Y27" s="157" t="str">
        <f>技術者!R28</f>
        <v/>
      </c>
      <c r="Z27" s="153"/>
    </row>
    <row r="28" spans="2:26" ht="18" customHeight="1" x14ac:dyDescent="0.15">
      <c r="B28" s="182" t="s">
        <v>479</v>
      </c>
      <c r="C28" s="133" t="str">
        <f>IF(基本事項!AM17=2,"事業主利益","経常利益")</f>
        <v>経常利益</v>
      </c>
      <c r="D28" s="93">
        <v>352</v>
      </c>
      <c r="E28" s="93">
        <v>547</v>
      </c>
      <c r="F28" s="94"/>
      <c r="G28" s="94"/>
      <c r="H28" s="94"/>
      <c r="J28" s="8" t="s">
        <v>242</v>
      </c>
      <c r="K28" s="3">
        <f>TRUNC((K27+L27)/2)</f>
        <v>6097</v>
      </c>
      <c r="L28" s="3"/>
      <c r="U28" s="153"/>
      <c r="V28" s="163" t="s">
        <v>78</v>
      </c>
      <c r="W28" s="157" t="str">
        <f t="shared" si="0"/>
        <v/>
      </c>
      <c r="X28" s="157" t="str">
        <f>完成工事高!M29</f>
        <v/>
      </c>
      <c r="Y28" s="157" t="str">
        <f>技術者!R29</f>
        <v/>
      </c>
      <c r="Z28" s="153"/>
    </row>
    <row r="29" spans="2:26" ht="18" customHeight="1" x14ac:dyDescent="0.15">
      <c r="B29" s="182" t="s">
        <v>479</v>
      </c>
      <c r="C29" s="133" t="s">
        <v>212</v>
      </c>
      <c r="D29" s="93">
        <v>305</v>
      </c>
      <c r="E29" s="93">
        <v>337</v>
      </c>
      <c r="F29" s="94"/>
      <c r="G29" s="94"/>
      <c r="H29" s="94"/>
      <c r="J29" s="1" t="s">
        <v>401</v>
      </c>
      <c r="K29" s="3">
        <f>IF(K28&lt;0,0,K28)</f>
        <v>6097</v>
      </c>
      <c r="L29" s="3"/>
      <c r="M29" s="3"/>
      <c r="U29" s="153"/>
      <c r="V29" s="163" t="s">
        <v>79</v>
      </c>
      <c r="W29" s="157" t="str">
        <f t="shared" si="0"/>
        <v/>
      </c>
      <c r="X29" s="157" t="str">
        <f>完成工事高!M30</f>
        <v/>
      </c>
      <c r="Y29" s="157" t="str">
        <f>技術者!R30</f>
        <v/>
      </c>
      <c r="Z29" s="153"/>
    </row>
    <row r="30" spans="2:26" ht="18" customHeight="1" x14ac:dyDescent="0.15">
      <c r="B30" s="182"/>
      <c r="C30" s="92"/>
      <c r="D30" s="94"/>
      <c r="E30" s="94"/>
      <c r="F30" s="94"/>
      <c r="G30" s="94"/>
      <c r="H30" s="94"/>
      <c r="U30" s="153"/>
      <c r="V30" s="163" t="s">
        <v>80</v>
      </c>
      <c r="W30" s="157" t="str">
        <f t="shared" si="0"/>
        <v/>
      </c>
      <c r="X30" s="157" t="str">
        <f>完成工事高!M31</f>
        <v/>
      </c>
      <c r="Y30" s="157" t="str">
        <f>技術者!R31</f>
        <v/>
      </c>
      <c r="Z30" s="153"/>
    </row>
    <row r="31" spans="2:26" ht="18" customHeight="1" x14ac:dyDescent="0.15">
      <c r="B31" s="182" t="s">
        <v>479</v>
      </c>
      <c r="C31" s="133" t="s">
        <v>241</v>
      </c>
      <c r="D31" s="93">
        <v>3033</v>
      </c>
      <c r="E31" s="93">
        <v>2522</v>
      </c>
      <c r="F31" s="94"/>
      <c r="G31" s="94"/>
      <c r="H31" s="94"/>
      <c r="U31" s="153"/>
      <c r="V31" s="163" t="s">
        <v>1</v>
      </c>
      <c r="W31" s="157" t="str">
        <f t="shared" si="0"/>
        <v/>
      </c>
      <c r="X31" s="157" t="str">
        <f>完成工事高!M32</f>
        <v/>
      </c>
      <c r="Y31" s="157" t="str">
        <f>技術者!R32</f>
        <v/>
      </c>
      <c r="Z31" s="153"/>
    </row>
    <row r="32" spans="2:26" ht="18" customHeight="1" x14ac:dyDescent="0.15">
      <c r="D32" s="40"/>
      <c r="E32" s="40"/>
      <c r="F32" s="40"/>
      <c r="G32" s="40"/>
      <c r="H32" s="40"/>
      <c r="U32" s="153"/>
      <c r="V32" s="163" t="s">
        <v>3</v>
      </c>
      <c r="W32" s="157" t="str">
        <f t="shared" si="0"/>
        <v/>
      </c>
      <c r="X32" s="157" t="str">
        <f>完成工事高!M33</f>
        <v/>
      </c>
      <c r="Y32" s="157" t="str">
        <f>技術者!R33</f>
        <v/>
      </c>
      <c r="Z32" s="153"/>
    </row>
    <row r="33" spans="3:26" ht="18" customHeight="1" x14ac:dyDescent="0.15">
      <c r="C33" s="495" t="s">
        <v>15</v>
      </c>
      <c r="D33" s="495"/>
      <c r="E33" s="134" t="s">
        <v>16</v>
      </c>
      <c r="F33" s="16"/>
      <c r="G33" s="158" t="s">
        <v>27</v>
      </c>
      <c r="H33" s="158" t="s">
        <v>198</v>
      </c>
      <c r="I33" s="75" t="s">
        <v>17</v>
      </c>
      <c r="J33" s="16"/>
      <c r="K33" s="9"/>
      <c r="L33" s="10" t="s">
        <v>225</v>
      </c>
      <c r="M33" s="11" t="s">
        <v>29</v>
      </c>
      <c r="N33" s="11" t="s">
        <v>30</v>
      </c>
      <c r="O33" s="12" t="s">
        <v>18</v>
      </c>
      <c r="P33" s="48" t="s">
        <v>29</v>
      </c>
      <c r="Q33" s="48" t="s">
        <v>30</v>
      </c>
      <c r="U33" s="153"/>
      <c r="V33" s="163" t="s">
        <v>5</v>
      </c>
      <c r="W33" s="157" t="str">
        <f t="shared" si="0"/>
        <v/>
      </c>
      <c r="X33" s="157" t="str">
        <f>完成工事高!M34</f>
        <v/>
      </c>
      <c r="Y33" s="157" t="str">
        <f>技術者!R34</f>
        <v/>
      </c>
      <c r="Z33" s="153"/>
    </row>
    <row r="34" spans="3:26" ht="18" customHeight="1" x14ac:dyDescent="0.15">
      <c r="C34" s="490" t="s">
        <v>20</v>
      </c>
      <c r="D34" s="490"/>
      <c r="E34" s="97">
        <f>IF(ISERROR(I34),"",I34)</f>
        <v>0.44700000000000001</v>
      </c>
      <c r="F34" s="233"/>
      <c r="G34" s="247">
        <v>5.0999999999999996</v>
      </c>
      <c r="H34" s="247">
        <v>-0.3</v>
      </c>
      <c r="I34" s="98">
        <f>IF(K34&gt;M34,M34,IF(K34&lt;N34,N34,K34))</f>
        <v>0.44700000000000001</v>
      </c>
      <c r="J34" s="8" t="s">
        <v>420</v>
      </c>
      <c r="K34" s="9">
        <f>IF(K6=0,N34,ROUND((K7/K6*100),L34))</f>
        <v>0.44700000000000001</v>
      </c>
      <c r="L34" s="13">
        <v>3</v>
      </c>
      <c r="M34" s="7">
        <f>P34</f>
        <v>5.0999999999999996</v>
      </c>
      <c r="N34" s="7">
        <f>Q34</f>
        <v>-0.3</v>
      </c>
      <c r="O34" s="14">
        <v>-0.46500000000000002</v>
      </c>
      <c r="P34" s="49">
        <v>5.0999999999999996</v>
      </c>
      <c r="Q34" s="50">
        <v>-0.3</v>
      </c>
      <c r="U34" s="153"/>
      <c r="V34" s="163" t="s">
        <v>7</v>
      </c>
      <c r="W34" s="157" t="str">
        <f t="shared" si="0"/>
        <v/>
      </c>
      <c r="X34" s="157" t="str">
        <f>完成工事高!M35</f>
        <v/>
      </c>
      <c r="Y34" s="157" t="str">
        <f>技術者!R35</f>
        <v/>
      </c>
      <c r="Z34" s="153"/>
    </row>
    <row r="35" spans="3:26" ht="18" customHeight="1" x14ac:dyDescent="0.15">
      <c r="C35" s="490" t="s">
        <v>217</v>
      </c>
      <c r="D35" s="490"/>
      <c r="E35" s="97">
        <f>IF(ISERROR(I35),"",I35)</f>
        <v>7.2220000000000004</v>
      </c>
      <c r="F35" s="233"/>
      <c r="G35" s="247">
        <v>18</v>
      </c>
      <c r="H35" s="247">
        <v>0.9</v>
      </c>
      <c r="I35" s="98">
        <f t="shared" ref="I35:I41" si="1">IF(K35&gt;M35,M35,IF(K35&lt;N35,N35,K35))</f>
        <v>7.2220000000000004</v>
      </c>
      <c r="J35" s="8" t="s">
        <v>233</v>
      </c>
      <c r="K35" s="9">
        <f>IF(K6=0,N35,ROUND(K9/(K6/12),L35))</f>
        <v>7.2220000000000004</v>
      </c>
      <c r="L35" s="13">
        <v>3</v>
      </c>
      <c r="M35" s="7">
        <f t="shared" ref="M35:M41" si="2">P35</f>
        <v>18</v>
      </c>
      <c r="N35" s="7">
        <f t="shared" ref="N35:N41" si="3">Q35</f>
        <v>0.9</v>
      </c>
      <c r="O35" s="14">
        <v>-5.0799999999999998E-2</v>
      </c>
      <c r="P35" s="49">
        <v>18</v>
      </c>
      <c r="Q35" s="50">
        <v>0.9</v>
      </c>
      <c r="U35" s="153"/>
      <c r="V35" s="163" t="s">
        <v>9</v>
      </c>
      <c r="W35" s="157" t="str">
        <f t="shared" si="0"/>
        <v/>
      </c>
      <c r="X35" s="157" t="str">
        <f>完成工事高!M36</f>
        <v/>
      </c>
      <c r="Y35" s="157" t="str">
        <f>技術者!R36</f>
        <v/>
      </c>
      <c r="Z35" s="153"/>
    </row>
    <row r="36" spans="3:26" ht="18" customHeight="1" x14ac:dyDescent="0.15">
      <c r="C36" s="490" t="s">
        <v>220</v>
      </c>
      <c r="D36" s="490"/>
      <c r="E36" s="97">
        <f>IF(AND(D24=0,K11=0),"",I36)</f>
        <v>18.911000000000001</v>
      </c>
      <c r="F36" s="233"/>
      <c r="G36" s="247">
        <v>63.6</v>
      </c>
      <c r="H36" s="247">
        <v>6.5</v>
      </c>
      <c r="I36" s="98">
        <f t="shared" si="1"/>
        <v>18.911000000000001</v>
      </c>
      <c r="J36" s="8" t="s">
        <v>234</v>
      </c>
      <c r="K36" s="9">
        <f>ROUND(D24/K12*100,L36)</f>
        <v>18.911000000000001</v>
      </c>
      <c r="L36" s="13">
        <v>3</v>
      </c>
      <c r="M36" s="7">
        <f t="shared" si="2"/>
        <v>63.6</v>
      </c>
      <c r="N36" s="7">
        <f t="shared" si="3"/>
        <v>6.5</v>
      </c>
      <c r="O36" s="14">
        <v>2.64E-2</v>
      </c>
      <c r="P36" s="49">
        <v>63.6</v>
      </c>
      <c r="Q36" s="50">
        <v>6.5</v>
      </c>
      <c r="U36" s="153"/>
      <c r="V36" s="163" t="s">
        <v>12</v>
      </c>
      <c r="W36" s="157" t="str">
        <f t="shared" si="0"/>
        <v/>
      </c>
      <c r="X36" s="157" t="str">
        <f>完成工事高!M37</f>
        <v/>
      </c>
      <c r="Y36" s="157" t="str">
        <f>技術者!R37</f>
        <v/>
      </c>
      <c r="Z36" s="153"/>
    </row>
    <row r="37" spans="3:26" ht="18" customHeight="1" x14ac:dyDescent="0.15">
      <c r="C37" s="490" t="s">
        <v>218</v>
      </c>
      <c r="D37" s="490"/>
      <c r="E37" s="97">
        <f>IF(ISERROR(I37),"",I37)</f>
        <v>0.11799999999999999</v>
      </c>
      <c r="F37" s="233"/>
      <c r="G37" s="247">
        <v>5.0999999999999996</v>
      </c>
      <c r="H37" s="247">
        <v>-8.5</v>
      </c>
      <c r="I37" s="98">
        <f t="shared" si="1"/>
        <v>0.11799999999999999</v>
      </c>
      <c r="J37" s="8" t="s">
        <v>235</v>
      </c>
      <c r="K37" s="9">
        <f>IF(K6=0,N37,ROUND((D28/K6*100),L37))</f>
        <v>0.11799999999999999</v>
      </c>
      <c r="L37" s="13">
        <v>3</v>
      </c>
      <c r="M37" s="7">
        <f t="shared" si="2"/>
        <v>5.0999999999999996</v>
      </c>
      <c r="N37" s="7">
        <f t="shared" si="3"/>
        <v>-8.5</v>
      </c>
      <c r="O37" s="14">
        <v>2.7699999999999999E-2</v>
      </c>
      <c r="P37" s="49">
        <v>5.0999999999999996</v>
      </c>
      <c r="Q37" s="50">
        <v>-8.5</v>
      </c>
      <c r="U37" s="153"/>
      <c r="V37" s="146" t="s">
        <v>533</v>
      </c>
      <c r="W37" s="157" t="str">
        <f t="shared" si="0"/>
        <v/>
      </c>
      <c r="X37" s="157" t="str">
        <f>完成工事高!M38</f>
        <v/>
      </c>
      <c r="Y37" s="157" t="str">
        <f>技術者!R38</f>
        <v/>
      </c>
      <c r="Z37" s="153"/>
    </row>
    <row r="38" spans="3:26" ht="18" customHeight="1" x14ac:dyDescent="0.15">
      <c r="C38" s="490" t="s">
        <v>21</v>
      </c>
      <c r="D38" s="490"/>
      <c r="E38" s="97">
        <f>IF(ISERROR(I38),"",I38)</f>
        <v>101.34699999999999</v>
      </c>
      <c r="F38" s="233"/>
      <c r="G38" s="247">
        <v>350</v>
      </c>
      <c r="H38" s="247">
        <v>-76.5</v>
      </c>
      <c r="I38" s="98">
        <f>IF(K38&gt;M38,M38,IF(K38&lt;N38,N38,K38))</f>
        <v>101.34699999999999</v>
      </c>
      <c r="J38" s="8" t="s">
        <v>236</v>
      </c>
      <c r="K38" s="9">
        <f>IF(AND(D11=0,D19&lt;=0),N38,IF(AND(D11=0,D19&gt;0),M38,ROUND((D19/D11*100),L38)))</f>
        <v>101.34699999999999</v>
      </c>
      <c r="L38" s="13">
        <v>3</v>
      </c>
      <c r="M38" s="7">
        <f t="shared" si="2"/>
        <v>350</v>
      </c>
      <c r="N38" s="7">
        <f t="shared" si="3"/>
        <v>-76.5</v>
      </c>
      <c r="O38" s="14">
        <v>1.1000000000000001E-3</v>
      </c>
      <c r="P38" s="49">
        <v>350</v>
      </c>
      <c r="Q38" s="50">
        <v>-76.5</v>
      </c>
      <c r="U38" s="153"/>
      <c r="V38" s="269"/>
      <c r="W38" s="270"/>
      <c r="X38" s="270"/>
      <c r="Y38" s="270"/>
      <c r="Z38" s="153"/>
    </row>
    <row r="39" spans="3:26" ht="18" customHeight="1" x14ac:dyDescent="0.15">
      <c r="C39" s="490" t="s">
        <v>19</v>
      </c>
      <c r="D39" s="490"/>
      <c r="E39" s="97">
        <f>IF(ISERROR(I39),"",I39)</f>
        <v>43.328000000000003</v>
      </c>
      <c r="F39" s="233"/>
      <c r="G39" s="247">
        <v>68.5</v>
      </c>
      <c r="H39" s="247">
        <v>-68.599999999999994</v>
      </c>
      <c r="I39" s="98">
        <f t="shared" si="1"/>
        <v>43.328000000000003</v>
      </c>
      <c r="J39" s="8" t="s">
        <v>237</v>
      </c>
      <c r="K39" s="9">
        <f>IF(D20=0,N39,ROUND((D19/D20*100),L39))</f>
        <v>43.328000000000003</v>
      </c>
      <c r="L39" s="13">
        <v>3</v>
      </c>
      <c r="M39" s="7">
        <f t="shared" si="2"/>
        <v>68.5</v>
      </c>
      <c r="N39" s="7">
        <f t="shared" si="3"/>
        <v>-68.599999999999994</v>
      </c>
      <c r="O39" s="14">
        <v>8.8999999999999999E-3</v>
      </c>
      <c r="P39" s="49">
        <v>68.5</v>
      </c>
      <c r="Q39" s="50">
        <v>-68.599999999999994</v>
      </c>
      <c r="W39" s="35"/>
    </row>
    <row r="40" spans="3:26" ht="18" customHeight="1" x14ac:dyDescent="0.15">
      <c r="C40" s="495" t="s">
        <v>219</v>
      </c>
      <c r="D40" s="495"/>
      <c r="E40" s="97">
        <f>IF(AND(K17=0,K18=0,K19=0,K20=0,K21=0,K22=0,K23=0,K24=0,L17=0,L18=0,L19=0,L20=0,L21=0,L22=0,L23=0,L24=0),"",I40)</f>
        <v>0.17699999999999999</v>
      </c>
      <c r="F40" s="233"/>
      <c r="G40" s="247">
        <v>15</v>
      </c>
      <c r="H40" s="247">
        <v>-10</v>
      </c>
      <c r="I40" s="98">
        <f t="shared" si="1"/>
        <v>0.17699999999999999</v>
      </c>
      <c r="J40" s="8" t="s">
        <v>238</v>
      </c>
      <c r="K40" s="9">
        <f>ROUND(((K25+L25)/2)/100000,L40)</f>
        <v>0.17699999999999999</v>
      </c>
      <c r="L40" s="13">
        <v>3</v>
      </c>
      <c r="M40" s="7">
        <f t="shared" si="2"/>
        <v>15</v>
      </c>
      <c r="N40" s="7">
        <f t="shared" si="3"/>
        <v>-10</v>
      </c>
      <c r="O40" s="14">
        <v>8.1799999999999998E-2</v>
      </c>
      <c r="P40" s="49">
        <v>15</v>
      </c>
      <c r="Q40" s="50">
        <v>-10</v>
      </c>
      <c r="W40" s="35"/>
    </row>
    <row r="41" spans="3:26" ht="18" customHeight="1" thickBot="1" x14ac:dyDescent="0.2">
      <c r="C41" s="494" t="s">
        <v>214</v>
      </c>
      <c r="D41" s="494"/>
      <c r="E41" s="307">
        <f>IF(D18="","",I41)</f>
        <v>1.1639999999999999</v>
      </c>
      <c r="F41" s="233"/>
      <c r="G41" s="247">
        <v>100</v>
      </c>
      <c r="H41" s="247">
        <v>-3</v>
      </c>
      <c r="I41" s="98">
        <f t="shared" si="1"/>
        <v>1.1639999999999999</v>
      </c>
      <c r="J41" s="8" t="s">
        <v>239</v>
      </c>
      <c r="K41" s="9">
        <f>ROUND(D18/100000,L41)</f>
        <v>1.1639999999999999</v>
      </c>
      <c r="L41" s="13">
        <v>3</v>
      </c>
      <c r="M41" s="7">
        <f t="shared" si="2"/>
        <v>100</v>
      </c>
      <c r="N41" s="7">
        <f t="shared" si="3"/>
        <v>-3</v>
      </c>
      <c r="O41" s="14">
        <v>1.72E-2</v>
      </c>
      <c r="P41" s="49">
        <v>100</v>
      </c>
      <c r="Q41" s="50">
        <v>-3</v>
      </c>
      <c r="W41" s="35"/>
    </row>
    <row r="42" spans="3:26" ht="18" customHeight="1" thickTop="1" thickBot="1" x14ac:dyDescent="0.2">
      <c r="C42" s="505" t="s">
        <v>22</v>
      </c>
      <c r="D42" s="506"/>
      <c r="E42" s="308">
        <f>IF(OR(基本事項!AM8=1,K3=TRUE),0,IF(ISERROR(I43),0,IF(I43&lt;0,0,I43)))</f>
        <v>0</v>
      </c>
      <c r="F42" s="233"/>
      <c r="G42" s="248">
        <v>1595</v>
      </c>
      <c r="H42" s="248">
        <v>0</v>
      </c>
      <c r="I42" s="99">
        <f>ROUND(O34*I34+O35*I35+O36*I36+O37*I37+O38*I38+O39*I39+O40*I40+O41*I41+O42,L42)</f>
        <v>0.65</v>
      </c>
      <c r="J42" s="8" t="s">
        <v>240</v>
      </c>
      <c r="K42" s="9"/>
      <c r="L42" s="13">
        <v>2</v>
      </c>
      <c r="M42" s="7"/>
      <c r="N42" s="4"/>
      <c r="O42" s="14">
        <v>0.19059999999999999</v>
      </c>
      <c r="P42" s="419"/>
      <c r="Q42" s="419"/>
      <c r="W42" s="35"/>
    </row>
    <row r="43" spans="3:26" ht="18" customHeight="1" thickTop="1" x14ac:dyDescent="0.15">
      <c r="C43" s="246"/>
      <c r="D43" s="246"/>
      <c r="E43" s="15"/>
      <c r="F43" s="233"/>
      <c r="G43" s="33"/>
      <c r="H43" s="40"/>
      <c r="I43" s="47">
        <f>ROUND(167.3*I42+583,L43)</f>
        <v>692</v>
      </c>
      <c r="J43" s="15" t="s">
        <v>421</v>
      </c>
      <c r="K43" s="9"/>
      <c r="L43" s="13">
        <v>0</v>
      </c>
      <c r="N43" s="4"/>
      <c r="O43" s="5"/>
      <c r="P43" s="11"/>
      <c r="Q43" s="11"/>
    </row>
    <row r="44" spans="3:26" ht="18" customHeight="1" x14ac:dyDescent="0.15">
      <c r="C44" s="490" t="s">
        <v>537</v>
      </c>
      <c r="D44" s="490"/>
      <c r="E44" s="134" t="s">
        <v>16</v>
      </c>
      <c r="F44" s="134" t="s">
        <v>538</v>
      </c>
      <c r="G44" s="155" t="s">
        <v>27</v>
      </c>
      <c r="H44" s="155" t="s">
        <v>28</v>
      </c>
      <c r="N44" s="4"/>
      <c r="O44" s="5"/>
      <c r="P44" s="36"/>
      <c r="Q44" s="36"/>
    </row>
    <row r="45" spans="3:26" ht="18" customHeight="1" x14ac:dyDescent="0.15">
      <c r="C45" s="490" t="s">
        <v>42</v>
      </c>
      <c r="D45" s="490"/>
      <c r="E45" s="80">
        <f>K14</f>
        <v>136391</v>
      </c>
      <c r="F45" s="80">
        <f>別表第二!B3</f>
        <v>736</v>
      </c>
      <c r="G45" s="248">
        <v>2114</v>
      </c>
      <c r="H45" s="248">
        <v>361</v>
      </c>
      <c r="I45" s="4"/>
      <c r="M45" s="5"/>
      <c r="N45" s="1"/>
    </row>
    <row r="46" spans="3:26" ht="18" customHeight="1" thickBot="1" x14ac:dyDescent="0.2">
      <c r="C46" s="494" t="s">
        <v>275</v>
      </c>
      <c r="D46" s="494"/>
      <c r="E46" s="310">
        <f>'経営状況・自己資本額、平均利益額'!K28</f>
        <v>6097</v>
      </c>
      <c r="F46" s="310">
        <f>別表第三!B3</f>
        <v>594</v>
      </c>
      <c r="G46" s="248">
        <v>2447</v>
      </c>
      <c r="H46" s="248">
        <v>547</v>
      </c>
      <c r="I46" s="4"/>
      <c r="M46" s="5"/>
      <c r="N46" s="1"/>
    </row>
    <row r="47" spans="3:26" ht="18" customHeight="1" thickTop="1" thickBot="1" x14ac:dyDescent="0.2">
      <c r="C47" s="491" t="s">
        <v>539</v>
      </c>
      <c r="D47" s="492"/>
      <c r="E47" s="493"/>
      <c r="F47" s="311">
        <f>TRUNC((F45+F46)/2)</f>
        <v>665</v>
      </c>
      <c r="G47" s="309">
        <v>2280</v>
      </c>
      <c r="H47" s="248">
        <v>454</v>
      </c>
      <c r="I47" s="4"/>
      <c r="M47" s="5"/>
      <c r="N47" s="1"/>
    </row>
    <row r="48" spans="3:26" ht="18" customHeight="1" thickTop="1" x14ac:dyDescent="0.15">
      <c r="D48" s="40"/>
      <c r="E48" s="40"/>
      <c r="F48" s="40"/>
      <c r="G48" s="40"/>
      <c r="H48" s="1"/>
      <c r="I48" s="4"/>
      <c r="M48" s="5"/>
      <c r="N48" s="1"/>
    </row>
    <row r="49" spans="3:14" ht="18" customHeight="1" x14ac:dyDescent="0.15">
      <c r="C49" s="135" t="s">
        <v>226</v>
      </c>
      <c r="D49" s="96">
        <f>D11</f>
        <v>134578</v>
      </c>
      <c r="E49" s="488" t="s">
        <v>164</v>
      </c>
      <c r="F49" s="489"/>
      <c r="G49" s="100">
        <f>K6</f>
        <v>298072</v>
      </c>
      <c r="H49" s="1"/>
      <c r="I49" s="14"/>
      <c r="M49" s="5"/>
      <c r="N49" s="1"/>
    </row>
    <row r="50" spans="3:14" ht="18" customHeight="1" x14ac:dyDescent="0.15">
      <c r="C50" s="135" t="s">
        <v>210</v>
      </c>
      <c r="D50" s="96">
        <f>D16</f>
        <v>125018</v>
      </c>
      <c r="E50" s="488" t="s">
        <v>211</v>
      </c>
      <c r="F50" s="489"/>
      <c r="G50" s="100">
        <f>D24</f>
        <v>54041</v>
      </c>
      <c r="H50" s="1"/>
      <c r="I50" s="4"/>
      <c r="M50" s="5"/>
      <c r="N50" s="1"/>
    </row>
    <row r="51" spans="3:14" ht="18" customHeight="1" x14ac:dyDescent="0.15">
      <c r="C51" s="135" t="s">
        <v>11</v>
      </c>
      <c r="D51" s="96">
        <f>D17</f>
        <v>54375</v>
      </c>
      <c r="E51" s="488" t="s">
        <v>8</v>
      </c>
      <c r="F51" s="489"/>
      <c r="G51" s="100">
        <f>D26</f>
        <v>23</v>
      </c>
      <c r="H51" s="1"/>
      <c r="I51" s="4"/>
      <c r="M51" s="5"/>
      <c r="N51" s="1"/>
    </row>
    <row r="52" spans="3:14" ht="18" customHeight="1" x14ac:dyDescent="0.15">
      <c r="C52" s="135" t="s">
        <v>214</v>
      </c>
      <c r="D52" s="96">
        <f>D18</f>
        <v>116391</v>
      </c>
      <c r="E52" s="488" t="s">
        <v>14</v>
      </c>
      <c r="F52" s="489"/>
      <c r="G52" s="100">
        <f>D27</f>
        <v>1355</v>
      </c>
    </row>
    <row r="53" spans="3:14" ht="18" customHeight="1" x14ac:dyDescent="0.15">
      <c r="C53" s="135" t="s">
        <v>41</v>
      </c>
      <c r="D53" s="96">
        <f>D19</f>
        <v>136391</v>
      </c>
      <c r="E53" s="488" t="s">
        <v>221</v>
      </c>
      <c r="F53" s="489"/>
      <c r="G53" s="100">
        <f>D28</f>
        <v>352</v>
      </c>
    </row>
    <row r="54" spans="3:14" ht="18" customHeight="1" x14ac:dyDescent="0.15">
      <c r="C54" s="135" t="s">
        <v>165</v>
      </c>
      <c r="D54" s="96">
        <f>D20</f>
        <v>314785</v>
      </c>
      <c r="E54" s="486" t="s">
        <v>222</v>
      </c>
      <c r="F54" s="487"/>
      <c r="G54" s="100">
        <f>K25</f>
        <v>14480</v>
      </c>
    </row>
    <row r="55" spans="3:14" ht="18" customHeight="1" x14ac:dyDescent="0.15">
      <c r="C55" s="135" t="s">
        <v>166</v>
      </c>
      <c r="D55" s="96">
        <f>E20</f>
        <v>256753</v>
      </c>
      <c r="E55" s="486" t="s">
        <v>223</v>
      </c>
      <c r="F55" s="487"/>
      <c r="G55" s="100">
        <f>L25</f>
        <v>20957</v>
      </c>
    </row>
  </sheetData>
  <sheetProtection algorithmName="SHA-512" hashValue="eHygf7zxi4SOA3KH5ge9hCYQeUk9fkf3R6tXoRNxnEJfkahJ8rSzNSMGuLcHOPOq1FR0TfYVNdiZy84uYVSdXw==" saltValue="vJXoQw8+50pD8h67rWEXqQ==" spinCount="100000" sheet="1" objects="1" scenarios="1" selectLockedCells="1"/>
  <mergeCells count="29">
    <mergeCell ref="D1:H2"/>
    <mergeCell ref="C39:D39"/>
    <mergeCell ref="C44:D44"/>
    <mergeCell ref="V1:Y1"/>
    <mergeCell ref="C4:C5"/>
    <mergeCell ref="D4:D5"/>
    <mergeCell ref="F4:F5"/>
    <mergeCell ref="F3:G3"/>
    <mergeCell ref="P42:Q42"/>
    <mergeCell ref="E4:E5"/>
    <mergeCell ref="C33:D33"/>
    <mergeCell ref="C36:D36"/>
    <mergeCell ref="C42:D42"/>
    <mergeCell ref="E54:F54"/>
    <mergeCell ref="E55:F55"/>
    <mergeCell ref="E52:F52"/>
    <mergeCell ref="C34:D34"/>
    <mergeCell ref="C35:D35"/>
    <mergeCell ref="C37:D37"/>
    <mergeCell ref="C38:D38"/>
    <mergeCell ref="C47:E47"/>
    <mergeCell ref="E53:F53"/>
    <mergeCell ref="C41:D41"/>
    <mergeCell ref="C40:D40"/>
    <mergeCell ref="E49:F49"/>
    <mergeCell ref="E50:F50"/>
    <mergeCell ref="E51:F51"/>
    <mergeCell ref="C45:D45"/>
    <mergeCell ref="C46:D46"/>
  </mergeCells>
  <phoneticPr fontId="2"/>
  <conditionalFormatting sqref="D6:D11 D31 D22:D29 D13:D20">
    <cfRule type="expression" dxfId="3" priority="4" stopIfTrue="1">
      <formula>D6=""</formula>
    </cfRule>
  </conditionalFormatting>
  <conditionalFormatting sqref="E6:E10 E31 E28:E29 E25 E19:E20 E13:E15">
    <cfRule type="expression" dxfId="2" priority="3" stopIfTrue="1">
      <formula>E6=""</formula>
    </cfRule>
  </conditionalFormatting>
  <conditionalFormatting sqref="F6:F10 F13:F15">
    <cfRule type="expression" dxfId="1" priority="2" stopIfTrue="1">
      <formula>F6=""</formula>
    </cfRule>
  </conditionalFormatting>
  <conditionalFormatting sqref="D1:H2">
    <cfRule type="expression" dxfId="0" priority="1" stopIfTrue="1">
      <formula>O3&gt;0</formula>
    </cfRule>
  </conditionalFormatting>
  <dataValidations count="3">
    <dataValidation allowBlank="1" showErrorMessage="1" sqref="C1" xr:uid="{00000000-0002-0000-0800-000000000000}"/>
    <dataValidation imeMode="disabled" allowBlank="1" showInputMessage="1" showErrorMessage="1" sqref="D11 D13:F15 D16:D20 E19:E20 D22:D29 E25 E28:E29 D31:E31 D6:F9" xr:uid="{00000000-0002-0000-0800-000001000000}"/>
    <dataValidation allowBlank="1" showInputMessage="1" showErrorMessage="1" prompt="マイナス（－）で入力" sqref="D10:F10" xr:uid="{00000000-0002-0000-0800-000002000000}"/>
  </dataValidations>
  <pageMargins left="0.78740157480314965" right="0.19685039370078741" top="0.39370078740157483" bottom="0.19685039370078741" header="0" footer="0"/>
  <pageSetup paperSize="9" scale="94" orientation="portrait" blackAndWhite="1" horizontalDpi="300" verticalDpi="300" r:id="rId1"/>
  <headerFooter alignWithMargins="0"/>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8" r:id="rId4" name="Check Box 6">
              <controlPr defaultSize="0" autoFill="0" autoLine="0" autoPict="0">
                <anchor moveWithCells="1">
                  <from>
                    <xdr:col>4</xdr:col>
                    <xdr:colOff>638175</xdr:colOff>
                    <xdr:row>2</xdr:row>
                    <xdr:rowOff>9525</xdr:rowOff>
                  </from>
                  <to>
                    <xdr:col>5</xdr:col>
                    <xdr:colOff>95250</xdr:colOff>
                    <xdr:row>2</xdr:row>
                    <xdr:rowOff>219075</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2</xdr:col>
                    <xdr:colOff>9525</xdr:colOff>
                    <xdr:row>1</xdr:row>
                    <xdr:rowOff>9525</xdr:rowOff>
                  </from>
                  <to>
                    <xdr:col>2</xdr:col>
                    <xdr:colOff>1362075</xdr:colOff>
                    <xdr:row>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3</vt:i4>
      </vt:variant>
    </vt:vector>
  </HeadingPairs>
  <TitlesOfParts>
    <vt:vector size="30" baseType="lpstr">
      <vt:lpstr>最初にお読み下さい</vt:lpstr>
      <vt:lpstr>令和5年1月改正について</vt:lpstr>
      <vt:lpstr>使用方法</vt:lpstr>
      <vt:lpstr>パスワード</vt:lpstr>
      <vt:lpstr>基本事項</vt:lpstr>
      <vt:lpstr>完成工事高</vt:lpstr>
      <vt:lpstr>元請完成工事高</vt:lpstr>
      <vt:lpstr>技術者</vt:lpstr>
      <vt:lpstr>経営状況・自己資本額、平均利益額</vt:lpstr>
      <vt:lpstr>社会性等</vt:lpstr>
      <vt:lpstr>経営事項審査結果通知書</vt:lpstr>
      <vt:lpstr>4パターン対比表</vt:lpstr>
      <vt:lpstr>CPD単位換算計算表</vt:lpstr>
      <vt:lpstr>完成工事高X1</vt:lpstr>
      <vt:lpstr>元請完成工事高Z2</vt:lpstr>
      <vt:lpstr>技術職員数Z1</vt:lpstr>
      <vt:lpstr>別表第一</vt:lpstr>
      <vt:lpstr>別表第二</vt:lpstr>
      <vt:lpstr>別表第三</vt:lpstr>
      <vt:lpstr>別表第四</vt:lpstr>
      <vt:lpstr>別表第五</vt:lpstr>
      <vt:lpstr>別表第六</vt:lpstr>
      <vt:lpstr>別表第十一</vt:lpstr>
      <vt:lpstr>別表第十二</vt:lpstr>
      <vt:lpstr>別表第十三</vt:lpstr>
      <vt:lpstr>別表第十七</vt:lpstr>
      <vt:lpstr>その他</vt:lpstr>
      <vt:lpstr>CPD単位換算計算表!Print_Titles</vt:lpstr>
      <vt:lpstr>Z1最低点</vt:lpstr>
      <vt:lpstr>元請完成工事高!Z2最低点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2017-01-29T12:35:37Z</dcterms:created>
  <dcterms:modified xsi:type="dcterms:W3CDTF">2022-09-23T00:04:45Z</dcterms:modified>
</cp:coreProperties>
</file>